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ml.chartshapes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ml.chartshapes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5.xml" ContentType="application/vnd.openxmlformats-officedocument.drawingml.chartshapes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6.xml" ContentType="application/vnd.openxmlformats-officedocument.drawingml.chartshapes+xml"/>
  <Override PartName="/xl/charts/chart8.xml" ContentType="application/vnd.openxmlformats-officedocument.drawingml.chart+xml"/>
  <Override PartName="/xl/drawings/drawing7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8.xml" ContentType="application/vnd.openxmlformats-officedocument.drawingml.chartshapes+xml"/>
  <Override PartName="/xl/charts/chart11.xml" ContentType="application/vnd.openxmlformats-officedocument.drawingml.chart+xml"/>
  <Override PartName="/xl/drawings/drawing9.xml" ContentType="application/vnd.openxmlformats-officedocument.drawingml.chartshapes+xml"/>
  <Override PartName="/xl/charts/chart12.xml" ContentType="application/vnd.openxmlformats-officedocument.drawingml.chart+xml"/>
  <Override PartName="/xl/drawings/drawing10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11.xml" ContentType="application/vnd.openxmlformats-officedocument.drawingml.chartshapes+xml"/>
  <Override PartName="/xl/charts/chart15.xml" ContentType="application/vnd.openxmlformats-officedocument.drawingml.chart+xml"/>
  <Override PartName="/xl/drawings/drawing12.xml" ContentType="application/vnd.openxmlformats-officedocument.drawingml.chartshapes+xml"/>
  <Override PartName="/xl/charts/chart16.xml" ContentType="application/vnd.openxmlformats-officedocument.drawingml.chart+xml"/>
  <Override PartName="/xl/drawings/drawing13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14.xml" ContentType="application/vnd.openxmlformats-officedocument.drawingml.chartshapes+xml"/>
  <Override PartName="/xl/charts/chart19.xml" ContentType="application/vnd.openxmlformats-officedocument.drawingml.chart+xml"/>
  <Override PartName="/xl/drawings/drawing15.xml" ContentType="application/vnd.openxmlformats-officedocument.drawingml.chartshapes+xml"/>
  <Override PartName="/xl/charts/chart20.xml" ContentType="application/vnd.openxmlformats-officedocument.drawingml.chart+xml"/>
  <Override PartName="/xl/drawings/drawing16.xml" ContentType="application/vnd.openxmlformats-officedocument.drawing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drawings/drawing17.xml" ContentType="application/vnd.openxmlformats-officedocument.drawingml.chartshapes+xml"/>
  <Override PartName="/xl/charts/chart23.xml" ContentType="application/vnd.openxmlformats-officedocument.drawingml.chart+xml"/>
  <Override PartName="/xl/drawings/drawing18.xml" ContentType="application/vnd.openxmlformats-officedocument.drawingml.chartshapes+xml"/>
  <Override PartName="/xl/charts/chart24.xml" ContentType="application/vnd.openxmlformats-officedocument.drawingml.chart+xml"/>
  <Override PartName="/xl/drawings/drawing19.xml" ContentType="application/vnd.openxmlformats-officedocument.drawing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drawings/drawing20.xml" ContentType="application/vnd.openxmlformats-officedocument.drawingml.chartshapes+xml"/>
  <Override PartName="/xl/charts/chart27.xml" ContentType="application/vnd.openxmlformats-officedocument.drawingml.chart+xml"/>
  <Override PartName="/xl/drawings/drawing21.xml" ContentType="application/vnd.openxmlformats-officedocument.drawingml.chartshapes+xml"/>
  <Override PartName="/xl/charts/chart28.xml" ContentType="application/vnd.openxmlformats-officedocument.drawingml.chart+xml"/>
  <Override PartName="/xl/drawings/drawing22.xml" ContentType="application/vnd.openxmlformats-officedocument.drawing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drawings/drawing23.xml" ContentType="application/vnd.openxmlformats-officedocument.drawingml.chartshapes+xml"/>
  <Override PartName="/xl/charts/chart31.xml" ContentType="application/vnd.openxmlformats-officedocument.drawingml.chart+xml"/>
  <Override PartName="/xl/drawings/drawing24.xml" ContentType="application/vnd.openxmlformats-officedocument.drawingml.chartshapes+xml"/>
  <Override PartName="/xl/charts/chart32.xml" ContentType="application/vnd.openxmlformats-officedocument.drawingml.chart+xml"/>
  <Override PartName="/xl/drawings/drawing25.xml" ContentType="application/vnd.openxmlformats-officedocument.drawing+xml"/>
  <Override PartName="/xl/charts/chart33.xml" ContentType="application/vnd.openxmlformats-officedocument.drawingml.chart+xml"/>
  <Override PartName="/xl/drawings/drawing26.xml" ContentType="application/vnd.openxmlformats-officedocument.drawingml.chartshapes+xml"/>
  <Override PartName="/xl/charts/chart34.xml" ContentType="application/vnd.openxmlformats-officedocument.drawingml.chart+xml"/>
  <Override PartName="/xl/drawings/drawing27.xml" ContentType="application/vnd.openxmlformats-officedocument.drawingml.chartshapes+xml"/>
  <Override PartName="/xl/charts/chart35.xml" ContentType="application/vnd.openxmlformats-officedocument.drawingml.chart+xml"/>
  <Override PartName="/xl/drawings/drawing28.xml" ContentType="application/vnd.openxmlformats-officedocument.drawingml.chartshapes+xml"/>
  <Override PartName="/xl/charts/chart36.xml" ContentType="application/vnd.openxmlformats-officedocument.drawingml.chart+xml"/>
  <Override PartName="/xl/drawings/drawing29.xml" ContentType="application/vnd.openxmlformats-officedocument.drawing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drawings/drawing30.xml" ContentType="application/vnd.openxmlformats-officedocument.drawingml.chartshapes+xml"/>
  <Override PartName="/xl/charts/chart39.xml" ContentType="application/vnd.openxmlformats-officedocument.drawingml.chart+xml"/>
  <Override PartName="/xl/drawings/drawing31.xml" ContentType="application/vnd.openxmlformats-officedocument.drawingml.chartshapes+xml"/>
  <Override PartName="/xl/charts/chart40.xml" ContentType="application/vnd.openxmlformats-officedocument.drawingml.chart+xml"/>
  <Override PartName="/xl/drawings/drawing32.xml" ContentType="application/vnd.openxmlformats-officedocument.drawing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drawings/drawing33.xml" ContentType="application/vnd.openxmlformats-officedocument.drawingml.chartshapes+xml"/>
  <Override PartName="/xl/charts/chart43.xml" ContentType="application/vnd.openxmlformats-officedocument.drawingml.chart+xml"/>
  <Override PartName="/xl/drawings/drawing34.xml" ContentType="application/vnd.openxmlformats-officedocument.drawingml.chartshapes+xml"/>
  <Override PartName="/xl/charts/chart44.xml" ContentType="application/vnd.openxmlformats-officedocument.drawingml.chart+xml"/>
  <Override PartName="/xl/drawings/drawing35.xml" ContentType="application/vnd.openxmlformats-officedocument.drawing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drawings/drawing36.xml" ContentType="application/vnd.openxmlformats-officedocument.drawingml.chartshapes+xml"/>
  <Override PartName="/xl/charts/chart47.xml" ContentType="application/vnd.openxmlformats-officedocument.drawingml.chart+xml"/>
  <Override PartName="/xl/drawings/drawing37.xml" ContentType="application/vnd.openxmlformats-officedocument.drawingml.chartshapes+xml"/>
  <Override PartName="/xl/charts/chart48.xml" ContentType="application/vnd.openxmlformats-officedocument.drawingml.chart+xml"/>
  <Override PartName="/xl/drawings/drawing38.xml" ContentType="application/vnd.openxmlformats-officedocument.drawing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drawings/drawing39.xml" ContentType="application/vnd.openxmlformats-officedocument.drawingml.chartshapes+xml"/>
  <Override PartName="/xl/charts/chart51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0.xml" ContentType="application/vnd.openxmlformats-officedocument.drawingml.chartshapes+xml"/>
  <Override PartName="/xl/charts/chart52.xml" ContentType="application/vnd.openxmlformats-officedocument.drawingml.chart+xml"/>
  <Override PartName="/xl/drawings/drawing41.xml" ContentType="application/vnd.openxmlformats-officedocument.drawing+xml"/>
  <Override PartName="/xl/charts/chart53.xml" ContentType="application/vnd.openxmlformats-officedocument.drawingml.chart+xml"/>
  <Override PartName="/xl/drawings/drawing4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lwanchoo\Documents\files\esdis\Annual_reports\"/>
    </mc:Choice>
  </mc:AlternateContent>
  <bookViews>
    <workbookView xWindow="0" yWindow="0" windowWidth="24000" windowHeight="9270" tabRatio="870"/>
  </bookViews>
  <sheets>
    <sheet name="Cover" sheetId="55" r:id="rId1"/>
    <sheet name="Introduction" sheetId="56" r:id="rId2"/>
    <sheet name="ASDC" sheetId="43" r:id="rId3"/>
    <sheet name="ASF" sheetId="44" r:id="rId4"/>
    <sheet name="CDDIS" sheetId="45" r:id="rId5"/>
    <sheet name="GESDISC" sheetId="46" r:id="rId6"/>
    <sheet name="GHRC" sheetId="47" r:id="rId7"/>
    <sheet name="LPDAAC" sheetId="48" r:id="rId8"/>
    <sheet name="MODAPS" sheetId="49" r:id="rId9"/>
    <sheet name="NSIDC" sheetId="50" r:id="rId10"/>
    <sheet name="OBDAAC" sheetId="51" r:id="rId11"/>
    <sheet name="ORNL" sheetId="52" r:id="rId12"/>
    <sheet name="PODAAC" sheetId="53" r:id="rId13"/>
    <sheet name="SEDAC" sheetId="54" r:id="rId14"/>
    <sheet name="LANCE" sheetId="59" r:id="rId15"/>
    <sheet name="Summary_data" sheetId="39" r:id="rId16"/>
    <sheet name="data" sheetId="41" r:id="rId17"/>
    <sheet name="L_Summary_data" sheetId="58" r:id="rId18"/>
    <sheet name="L_data" sheetId="57" r:id="rId19"/>
  </sheets>
  <definedNames>
    <definedName name="_xlnm.Print_Area" localSheetId="2">ASDC!$A$1:$C$14</definedName>
    <definedName name="_xlnm.Print_Area" localSheetId="3">ASF!$A$1:$C$14</definedName>
    <definedName name="_xlnm.Print_Area" localSheetId="4">CDDIS!$A$1:$C$14</definedName>
    <definedName name="_xlnm.Print_Area" localSheetId="5">GESDISC!$A$1:$C$14</definedName>
    <definedName name="_xlnm.Print_Area" localSheetId="6">GHRC!$A$1:$C$14</definedName>
    <definedName name="_xlnm.Print_Area" localSheetId="17">L_Summary_data!#REF!</definedName>
    <definedName name="_xlnm.Print_Area" localSheetId="14">LANCE!$A$1:$C$14</definedName>
    <definedName name="_xlnm.Print_Area" localSheetId="7">LPDAAC!$A$1:$C$14</definedName>
    <definedName name="_xlnm.Print_Area" localSheetId="8">MODAPS!$A$1:$C$14</definedName>
    <definedName name="_xlnm.Print_Area" localSheetId="9">NSIDC!$A$1:$K$32</definedName>
    <definedName name="_xlnm.Print_Area" localSheetId="10">OBDAAC!$A$1:$C$14</definedName>
    <definedName name="_xlnm.Print_Area" localSheetId="11">ORNL!$A$1:$C$14</definedName>
    <definedName name="_xlnm.Print_Area" localSheetId="12">PODAAC!$A$1:$C$14</definedName>
    <definedName name="_xlnm.Print_Area" localSheetId="13">SEDAC!$A$1:$C$14</definedName>
    <definedName name="_xlnm.Print_Area" localSheetId="15">Summary_data!#REF!</definedName>
  </definedNames>
  <calcPr calcId="152511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6" i="39" l="1"/>
  <c r="D12" i="59" l="1"/>
  <c r="C12" i="59"/>
  <c r="J11" i="59"/>
  <c r="I11" i="59"/>
  <c r="G11" i="59"/>
  <c r="D11" i="59"/>
  <c r="C11" i="59"/>
  <c r="D10" i="59"/>
  <c r="C10" i="59"/>
  <c r="J9" i="59"/>
  <c r="I9" i="59"/>
  <c r="G9" i="59"/>
  <c r="D9" i="59"/>
  <c r="C9" i="59"/>
  <c r="D8" i="59"/>
  <c r="C8" i="59"/>
  <c r="J7" i="59"/>
  <c r="I7" i="59"/>
  <c r="G7" i="59"/>
  <c r="J5" i="59"/>
  <c r="I5" i="59"/>
  <c r="G5" i="59"/>
  <c r="D5" i="59"/>
  <c r="C5" i="59"/>
  <c r="D4" i="59"/>
  <c r="C4" i="59"/>
  <c r="D3" i="59"/>
  <c r="B1" i="59"/>
  <c r="F2" i="59"/>
  <c r="P4" i="58"/>
  <c r="K4" i="58"/>
  <c r="J4" i="58"/>
  <c r="F4" i="58"/>
  <c r="B228" i="57"/>
  <c r="B227" i="57"/>
  <c r="B226" i="57"/>
  <c r="B225" i="57"/>
  <c r="B224" i="57"/>
  <c r="B223" i="57"/>
  <c r="B222" i="57"/>
  <c r="B221" i="57"/>
  <c r="B220" i="57"/>
  <c r="B219" i="57"/>
  <c r="B218" i="57"/>
  <c r="B217" i="57"/>
  <c r="B212" i="57"/>
  <c r="B206" i="57"/>
  <c r="B204" i="57"/>
  <c r="B195" i="57"/>
  <c r="B209" i="57" s="1"/>
  <c r="B166" i="57"/>
  <c r="B165" i="57"/>
  <c r="B164" i="57"/>
  <c r="B163" i="57"/>
  <c r="B162" i="57"/>
  <c r="B161" i="57"/>
  <c r="B160" i="57"/>
  <c r="B155" i="57"/>
  <c r="B154" i="57"/>
  <c r="B153" i="57"/>
  <c r="B152" i="57"/>
  <c r="B151" i="57"/>
  <c r="B150" i="57"/>
  <c r="B149" i="57"/>
  <c r="B148" i="57"/>
  <c r="B147" i="57"/>
  <c r="B146" i="57"/>
  <c r="B145" i="57"/>
  <c r="B144" i="57"/>
  <c r="C123" i="57"/>
  <c r="B122" i="57"/>
  <c r="B137" i="57" s="1"/>
  <c r="B121" i="57"/>
  <c r="B102" i="57"/>
  <c r="B96" i="57"/>
  <c r="B94" i="57"/>
  <c r="E69" i="57"/>
  <c r="B68" i="57"/>
  <c r="B67" i="57"/>
  <c r="B101" i="57" s="1"/>
  <c r="B66" i="57"/>
  <c r="B65" i="57"/>
  <c r="B99" i="57" s="1"/>
  <c r="B64" i="57"/>
  <c r="B98" i="57" s="1"/>
  <c r="B63" i="57"/>
  <c r="B97" i="57" s="1"/>
  <c r="B62" i="57"/>
  <c r="B61" i="57"/>
  <c r="B95" i="57" s="1"/>
  <c r="B60" i="57"/>
  <c r="B59" i="57"/>
  <c r="B93" i="57" s="1"/>
  <c r="B58" i="57"/>
  <c r="B57" i="57"/>
  <c r="B91" i="57" s="1"/>
  <c r="B56" i="57"/>
  <c r="B45" i="57"/>
  <c r="B43" i="57"/>
  <c r="E16" i="57"/>
  <c r="B15" i="57"/>
  <c r="B14" i="57"/>
  <c r="B48" i="57" s="1"/>
  <c r="B13" i="57"/>
  <c r="B47" i="57" s="1"/>
  <c r="B12" i="57"/>
  <c r="B46" i="57" s="1"/>
  <c r="B11" i="57"/>
  <c r="B29" i="57" s="1"/>
  <c r="B10" i="57"/>
  <c r="B44" i="57" s="1"/>
  <c r="B9" i="57"/>
  <c r="B27" i="57" s="1"/>
  <c r="B8" i="57"/>
  <c r="B7" i="57"/>
  <c r="B6" i="57"/>
  <c r="B40" i="57" s="1"/>
  <c r="B5" i="57"/>
  <c r="B39" i="57" s="1"/>
  <c r="B4" i="57"/>
  <c r="B17" i="57" s="1"/>
  <c r="B3" i="57"/>
  <c r="B26" i="57" l="1"/>
  <c r="B24" i="57"/>
  <c r="B23" i="57"/>
  <c r="B32" i="57"/>
  <c r="B31" i="57"/>
  <c r="B28" i="57"/>
  <c r="B25" i="57"/>
  <c r="B33" i="57"/>
  <c r="B22" i="57"/>
  <c r="B30" i="57"/>
  <c r="B41" i="57"/>
  <c r="B49" i="57"/>
  <c r="B92" i="57"/>
  <c r="B100" i="57"/>
  <c r="B130" i="57"/>
  <c r="B138" i="57"/>
  <c r="B202" i="57"/>
  <c r="B210" i="57"/>
  <c r="B70" i="57"/>
  <c r="B80" i="57" s="1"/>
  <c r="B131" i="57"/>
  <c r="B139" i="57"/>
  <c r="B203" i="57"/>
  <c r="B211" i="57"/>
  <c r="B42" i="57"/>
  <c r="B132" i="57"/>
  <c r="B133" i="57"/>
  <c r="B205" i="57"/>
  <c r="B16" i="57"/>
  <c r="B38" i="57"/>
  <c r="B135" i="57"/>
  <c r="B207" i="57"/>
  <c r="B134" i="57"/>
  <c r="B128" i="57"/>
  <c r="B136" i="57"/>
  <c r="B208" i="57"/>
  <c r="B69" i="57"/>
  <c r="B129" i="57"/>
  <c r="B201" i="57"/>
  <c r="B140" i="57" l="1"/>
  <c r="B34" i="57"/>
  <c r="B85" i="57"/>
  <c r="B79" i="57"/>
  <c r="B77" i="57"/>
  <c r="B83" i="57"/>
  <c r="B75" i="57"/>
  <c r="B213" i="57"/>
  <c r="B86" i="57"/>
  <c r="B76" i="57"/>
  <c r="B50" i="57"/>
  <c r="B78" i="57"/>
  <c r="B84" i="57"/>
  <c r="B82" i="57"/>
  <c r="B81" i="57"/>
  <c r="B87" i="57" l="1"/>
  <c r="M194" i="41" l="1"/>
  <c r="L194" i="41"/>
  <c r="K194" i="41"/>
  <c r="J194" i="41"/>
  <c r="I194" i="41"/>
  <c r="H194" i="41"/>
  <c r="G194" i="41"/>
  <c r="F194" i="41"/>
  <c r="E194" i="41"/>
  <c r="D194" i="41"/>
  <c r="C194" i="41"/>
  <c r="B194" i="41"/>
  <c r="P15" i="39" l="1"/>
  <c r="P14" i="39"/>
  <c r="P13" i="39"/>
  <c r="P12" i="39"/>
  <c r="P11" i="39"/>
  <c r="P10" i="39"/>
  <c r="P9" i="39"/>
  <c r="P8" i="39"/>
  <c r="P7" i="39"/>
  <c r="P6" i="39"/>
  <c r="P5" i="39"/>
  <c r="P4" i="39"/>
  <c r="O15" i="39"/>
  <c r="O14" i="39"/>
  <c r="O13" i="39"/>
  <c r="O12" i="39"/>
  <c r="O11" i="39"/>
  <c r="O10" i="39"/>
  <c r="O9" i="39"/>
  <c r="O8" i="39"/>
  <c r="O7" i="39"/>
  <c r="O6" i="39"/>
  <c r="O5" i="39"/>
  <c r="O4" i="39"/>
  <c r="F2" i="54" l="1"/>
  <c r="F2" i="53"/>
  <c r="F2" i="52"/>
  <c r="F2" i="51"/>
  <c r="F2" i="50"/>
  <c r="F2" i="49"/>
  <c r="F2" i="48"/>
  <c r="F2" i="47"/>
  <c r="F2" i="46"/>
  <c r="F2" i="45"/>
  <c r="B2" i="54"/>
  <c r="B2" i="53"/>
  <c r="B2" i="52"/>
  <c r="B2" i="51"/>
  <c r="B2" i="50"/>
  <c r="B2" i="49"/>
  <c r="B2" i="48"/>
  <c r="B2" i="47"/>
  <c r="B2" i="46"/>
  <c r="B2" i="45"/>
  <c r="B2" i="44"/>
  <c r="F2" i="44"/>
  <c r="Q15" i="39" l="1"/>
  <c r="Q14" i="39"/>
  <c r="Q13" i="39"/>
  <c r="Q12" i="39"/>
  <c r="Q11" i="39"/>
  <c r="Q10" i="39"/>
  <c r="Q9" i="39"/>
  <c r="Q8" i="39"/>
  <c r="Q7" i="39"/>
  <c r="Q6" i="39"/>
  <c r="Q5" i="39"/>
  <c r="Q4" i="39"/>
  <c r="K15" i="39"/>
  <c r="K14" i="39"/>
  <c r="K13" i="39"/>
  <c r="K12" i="39"/>
  <c r="K11" i="39"/>
  <c r="K10" i="39"/>
  <c r="K9" i="39"/>
  <c r="K8" i="39"/>
  <c r="K7" i="39"/>
  <c r="K6" i="39"/>
  <c r="K5" i="39"/>
  <c r="K4" i="39"/>
  <c r="AH244" i="41" l="1"/>
  <c r="AG244" i="41"/>
  <c r="AF244" i="41"/>
  <c r="AE244" i="41"/>
  <c r="AD244" i="41"/>
  <c r="AC244" i="41"/>
  <c r="AB244" i="41"/>
  <c r="AA244" i="41"/>
  <c r="Z244" i="41"/>
  <c r="Y244" i="41"/>
  <c r="X244" i="41"/>
  <c r="W244" i="41"/>
  <c r="V244" i="41"/>
  <c r="U244" i="41"/>
  <c r="T244" i="41"/>
  <c r="S244" i="41"/>
  <c r="R244" i="41"/>
  <c r="Q244" i="41"/>
  <c r="P244" i="41"/>
  <c r="O244" i="41"/>
  <c r="N244" i="41"/>
  <c r="M244" i="41"/>
  <c r="L244" i="41"/>
  <c r="K244" i="41"/>
  <c r="J244" i="41"/>
  <c r="I244" i="41"/>
  <c r="H244" i="41"/>
  <c r="G244" i="41"/>
  <c r="F244" i="41"/>
  <c r="E244" i="41"/>
  <c r="D244" i="41"/>
  <c r="C244" i="41"/>
  <c r="B244" i="41"/>
  <c r="N165" i="41"/>
  <c r="O165" i="41" s="1"/>
  <c r="M117" i="41" l="1"/>
  <c r="L117" i="41"/>
  <c r="K117" i="41"/>
  <c r="J117" i="41"/>
  <c r="I117" i="41"/>
  <c r="H117" i="41"/>
  <c r="G117" i="41"/>
  <c r="F117" i="41"/>
  <c r="E117" i="41"/>
  <c r="D117" i="41"/>
  <c r="C117" i="41"/>
  <c r="B117" i="41"/>
  <c r="M116" i="41"/>
  <c r="L116" i="41"/>
  <c r="K116" i="41"/>
  <c r="J116" i="41"/>
  <c r="I116" i="41"/>
  <c r="H116" i="41"/>
  <c r="G116" i="41"/>
  <c r="F116" i="41"/>
  <c r="E116" i="41"/>
  <c r="D116" i="41"/>
  <c r="C116" i="41"/>
  <c r="B116" i="41"/>
  <c r="M115" i="41"/>
  <c r="L115" i="41"/>
  <c r="K115" i="41"/>
  <c r="J115" i="41"/>
  <c r="I115" i="41"/>
  <c r="H115" i="41"/>
  <c r="G115" i="41"/>
  <c r="F115" i="41"/>
  <c r="E115" i="41"/>
  <c r="D115" i="41"/>
  <c r="C115" i="41"/>
  <c r="B115" i="41"/>
  <c r="M114" i="41"/>
  <c r="L114" i="41"/>
  <c r="K114" i="41"/>
  <c r="J114" i="41"/>
  <c r="I114" i="41"/>
  <c r="H114" i="41"/>
  <c r="G114" i="41"/>
  <c r="F114" i="41"/>
  <c r="E114" i="41"/>
  <c r="D114" i="41"/>
  <c r="C114" i="41"/>
  <c r="B114" i="41"/>
  <c r="M113" i="41"/>
  <c r="L113" i="41"/>
  <c r="K113" i="41"/>
  <c r="J113" i="41"/>
  <c r="I113" i="41"/>
  <c r="H113" i="41"/>
  <c r="G113" i="41"/>
  <c r="F113" i="41"/>
  <c r="E113" i="41"/>
  <c r="D113" i="41"/>
  <c r="C113" i="41"/>
  <c r="B113" i="41"/>
  <c r="M112" i="41"/>
  <c r="L112" i="41"/>
  <c r="K112" i="41"/>
  <c r="J112" i="41"/>
  <c r="I112" i="41"/>
  <c r="H112" i="41"/>
  <c r="G112" i="41"/>
  <c r="F112" i="41"/>
  <c r="E112" i="41"/>
  <c r="D112" i="41"/>
  <c r="C112" i="41"/>
  <c r="B112" i="41"/>
  <c r="M111" i="41"/>
  <c r="L111" i="41"/>
  <c r="K111" i="41"/>
  <c r="J111" i="41"/>
  <c r="I111" i="41"/>
  <c r="H111" i="41"/>
  <c r="G111" i="41"/>
  <c r="F111" i="41"/>
  <c r="E111" i="41"/>
  <c r="D111" i="41"/>
  <c r="C111" i="41"/>
  <c r="B111" i="41"/>
  <c r="M110" i="41"/>
  <c r="L110" i="41"/>
  <c r="K110" i="41"/>
  <c r="J110" i="41"/>
  <c r="I110" i="41"/>
  <c r="H110" i="41"/>
  <c r="G110" i="41"/>
  <c r="F110" i="41"/>
  <c r="E110" i="41"/>
  <c r="D110" i="41"/>
  <c r="C110" i="41"/>
  <c r="B110" i="41"/>
  <c r="M109" i="41"/>
  <c r="L109" i="41"/>
  <c r="K109" i="41"/>
  <c r="J109" i="41"/>
  <c r="I109" i="41"/>
  <c r="H109" i="41"/>
  <c r="G109" i="41"/>
  <c r="F109" i="41"/>
  <c r="E109" i="41"/>
  <c r="D109" i="41"/>
  <c r="C109" i="41"/>
  <c r="B109" i="41"/>
  <c r="M108" i="41"/>
  <c r="L108" i="41"/>
  <c r="K108" i="41"/>
  <c r="J108" i="41"/>
  <c r="I108" i="41"/>
  <c r="H108" i="41"/>
  <c r="G108" i="41"/>
  <c r="F108" i="41"/>
  <c r="E108" i="41"/>
  <c r="D108" i="41"/>
  <c r="C108" i="41"/>
  <c r="B108" i="41"/>
  <c r="M107" i="41"/>
  <c r="L107" i="41"/>
  <c r="K107" i="41"/>
  <c r="J107" i="41"/>
  <c r="I107" i="41"/>
  <c r="H107" i="41"/>
  <c r="G107" i="41"/>
  <c r="F107" i="41"/>
  <c r="E107" i="41"/>
  <c r="D107" i="41"/>
  <c r="C107" i="41"/>
  <c r="B107" i="41"/>
  <c r="M106" i="41"/>
  <c r="L106" i="41"/>
  <c r="K106" i="41"/>
  <c r="J106" i="41"/>
  <c r="I106" i="41"/>
  <c r="H106" i="41"/>
  <c r="G106" i="41"/>
  <c r="F106" i="41"/>
  <c r="E106" i="41"/>
  <c r="D106" i="41"/>
  <c r="C106" i="41"/>
  <c r="B106" i="41"/>
  <c r="P67" i="39" l="1"/>
  <c r="O55" i="39"/>
  <c r="N55" i="39"/>
  <c r="M55" i="39"/>
  <c r="L55" i="39"/>
  <c r="K55" i="39"/>
  <c r="J55" i="39"/>
  <c r="I55" i="39"/>
  <c r="H55" i="39"/>
  <c r="G55" i="39"/>
  <c r="F55" i="39"/>
  <c r="E55" i="39"/>
  <c r="D55" i="39"/>
  <c r="P42" i="39"/>
  <c r="O30" i="39"/>
  <c r="N30" i="39"/>
  <c r="M30" i="39"/>
  <c r="L30" i="39"/>
  <c r="K30" i="39"/>
  <c r="J30" i="39"/>
  <c r="I30" i="39"/>
  <c r="H30" i="39"/>
  <c r="G30" i="39"/>
  <c r="F30" i="39"/>
  <c r="E30" i="39"/>
  <c r="D30" i="39"/>
  <c r="P30" i="39" l="1"/>
  <c r="P55" i="39"/>
  <c r="F2" i="43" l="1"/>
  <c r="C4" i="54" l="1"/>
  <c r="C4" i="53"/>
  <c r="C4" i="52"/>
  <c r="C4" i="51"/>
  <c r="C4" i="50"/>
  <c r="C4" i="49"/>
  <c r="C4" i="48"/>
  <c r="C4" i="47"/>
  <c r="C4" i="46"/>
  <c r="C4" i="45"/>
  <c r="C4" i="44"/>
  <c r="C5" i="43"/>
  <c r="C4" i="43"/>
  <c r="C10" i="48"/>
  <c r="C9" i="48"/>
  <c r="C8" i="48"/>
  <c r="C7" i="48"/>
  <c r="C6" i="48"/>
  <c r="C5" i="48"/>
  <c r="C10" i="47"/>
  <c r="C9" i="47"/>
  <c r="C8" i="47"/>
  <c r="C7" i="47"/>
  <c r="C6" i="47"/>
  <c r="C5" i="47"/>
  <c r="C10" i="46"/>
  <c r="C9" i="46"/>
  <c r="C7" i="46"/>
  <c r="C8" i="46"/>
  <c r="C6" i="46"/>
  <c r="C5" i="46"/>
  <c r="C10" i="45"/>
  <c r="C9" i="45"/>
  <c r="C8" i="45"/>
  <c r="C7" i="45"/>
  <c r="C6" i="45"/>
  <c r="C5" i="45"/>
  <c r="C10" i="49"/>
  <c r="C9" i="49"/>
  <c r="C8" i="49"/>
  <c r="C7" i="49"/>
  <c r="C6" i="49"/>
  <c r="C5" i="49"/>
  <c r="C10" i="50"/>
  <c r="C9" i="50"/>
  <c r="C8" i="50"/>
  <c r="C7" i="50"/>
  <c r="C6" i="50"/>
  <c r="C5" i="50"/>
  <c r="C10" i="51"/>
  <c r="C9" i="51"/>
  <c r="C8" i="51"/>
  <c r="C7" i="51"/>
  <c r="C6" i="51"/>
  <c r="C5" i="51"/>
  <c r="C10" i="52"/>
  <c r="C9" i="52"/>
  <c r="C8" i="52"/>
  <c r="C7" i="52"/>
  <c r="C6" i="52"/>
  <c r="C5" i="52"/>
  <c r="C10" i="53"/>
  <c r="C9" i="53"/>
  <c r="C8" i="53"/>
  <c r="C7" i="53"/>
  <c r="C6" i="53"/>
  <c r="C5" i="53"/>
  <c r="C10" i="54"/>
  <c r="C9" i="54"/>
  <c r="C7" i="54"/>
  <c r="C6" i="54"/>
  <c r="C8" i="54"/>
  <c r="C5" i="54"/>
  <c r="C10" i="44"/>
  <c r="C8" i="44"/>
  <c r="C7" i="44"/>
  <c r="C6" i="44"/>
  <c r="C5" i="44"/>
  <c r="C6" i="43"/>
  <c r="C10" i="43"/>
  <c r="C8" i="43"/>
  <c r="C7" i="43"/>
  <c r="C9" i="44" l="1"/>
  <c r="C9" i="43"/>
  <c r="D8" i="54" l="1"/>
  <c r="D8" i="47"/>
  <c r="I11" i="54"/>
  <c r="G11" i="54"/>
  <c r="I9" i="54"/>
  <c r="G9" i="54"/>
  <c r="D9" i="54"/>
  <c r="D6" i="54"/>
  <c r="D4" i="54"/>
  <c r="D3" i="54"/>
  <c r="I11" i="53"/>
  <c r="G11" i="53"/>
  <c r="I9" i="53"/>
  <c r="G9" i="53"/>
  <c r="D9" i="53"/>
  <c r="D8" i="53"/>
  <c r="D6" i="53"/>
  <c r="D4" i="53"/>
  <c r="D3" i="53"/>
  <c r="I11" i="52"/>
  <c r="G11" i="52"/>
  <c r="I9" i="52"/>
  <c r="G9" i="52"/>
  <c r="D9" i="52"/>
  <c r="D8" i="52"/>
  <c r="D6" i="52"/>
  <c r="D4" i="52"/>
  <c r="D3" i="52"/>
  <c r="K195" i="41"/>
  <c r="J11" i="52" s="1"/>
  <c r="J119" i="41"/>
  <c r="J9" i="51"/>
  <c r="I9" i="51"/>
  <c r="G9" i="51"/>
  <c r="J55" i="41"/>
  <c r="J56" i="41"/>
  <c r="J57" i="41"/>
  <c r="J58" i="41"/>
  <c r="J59" i="41"/>
  <c r="J60" i="41"/>
  <c r="J95" i="41" s="1"/>
  <c r="J61" i="41"/>
  <c r="J62" i="41"/>
  <c r="J63" i="41"/>
  <c r="J64" i="41"/>
  <c r="J65" i="41"/>
  <c r="J66" i="41"/>
  <c r="J3" i="41"/>
  <c r="J4" i="41"/>
  <c r="J38" i="41" s="1"/>
  <c r="J5" i="41"/>
  <c r="J6" i="41"/>
  <c r="J7" i="41"/>
  <c r="J8" i="41"/>
  <c r="J9" i="41"/>
  <c r="J10" i="41"/>
  <c r="J11" i="41"/>
  <c r="J12" i="41"/>
  <c r="J13" i="41"/>
  <c r="J14" i="41"/>
  <c r="D9" i="51"/>
  <c r="D4" i="51"/>
  <c r="D3" i="51"/>
  <c r="I195" i="41"/>
  <c r="J11" i="50" s="1"/>
  <c r="I11" i="50"/>
  <c r="G11" i="50"/>
  <c r="I119" i="41"/>
  <c r="J9" i="50" s="1"/>
  <c r="I9" i="50"/>
  <c r="G9" i="50"/>
  <c r="I55" i="41"/>
  <c r="I56" i="41"/>
  <c r="I57" i="41"/>
  <c r="I58" i="41"/>
  <c r="I59" i="41"/>
  <c r="I93" i="41" s="1"/>
  <c r="I60" i="41"/>
  <c r="I61" i="41"/>
  <c r="I62" i="41"/>
  <c r="I63" i="41"/>
  <c r="I64" i="41"/>
  <c r="I65" i="41"/>
  <c r="I66" i="41"/>
  <c r="I3" i="41"/>
  <c r="N3" i="41" s="1"/>
  <c r="I4" i="41"/>
  <c r="I5" i="41"/>
  <c r="I6" i="41"/>
  <c r="I7" i="41"/>
  <c r="I8" i="41"/>
  <c r="I9" i="41"/>
  <c r="I10" i="41"/>
  <c r="I11" i="41"/>
  <c r="N11" i="41" s="1"/>
  <c r="I12" i="41"/>
  <c r="I13" i="41"/>
  <c r="I14" i="41"/>
  <c r="D9" i="50"/>
  <c r="D8" i="50"/>
  <c r="D6" i="50"/>
  <c r="D4" i="50"/>
  <c r="D3" i="50"/>
  <c r="H195" i="41"/>
  <c r="J11" i="49" s="1"/>
  <c r="I11" i="49"/>
  <c r="G11" i="49"/>
  <c r="H119" i="41"/>
  <c r="J9" i="49" s="1"/>
  <c r="I9" i="49"/>
  <c r="G9" i="49"/>
  <c r="H55" i="41"/>
  <c r="H56" i="41"/>
  <c r="H57" i="41"/>
  <c r="H58" i="41"/>
  <c r="H59" i="41"/>
  <c r="H60" i="41"/>
  <c r="H61" i="41"/>
  <c r="H62" i="41"/>
  <c r="H63" i="41"/>
  <c r="H64" i="41"/>
  <c r="H98" i="41" s="1"/>
  <c r="H65" i="41"/>
  <c r="H66" i="41"/>
  <c r="H3" i="41"/>
  <c r="H4" i="41"/>
  <c r="H5" i="41"/>
  <c r="H6" i="41"/>
  <c r="H7" i="41"/>
  <c r="H8" i="41"/>
  <c r="H42" i="41" s="1"/>
  <c r="H9" i="41"/>
  <c r="H10" i="41"/>
  <c r="H11" i="41"/>
  <c r="H12" i="41"/>
  <c r="H13" i="41"/>
  <c r="H14" i="41"/>
  <c r="D9" i="49"/>
  <c r="D8" i="49"/>
  <c r="D6" i="49"/>
  <c r="D4" i="49"/>
  <c r="D3" i="49"/>
  <c r="G195" i="41"/>
  <c r="J11" i="48" s="1"/>
  <c r="I11" i="48"/>
  <c r="G11" i="48"/>
  <c r="G119" i="41"/>
  <c r="J9" i="48" s="1"/>
  <c r="I9" i="48"/>
  <c r="G9" i="48"/>
  <c r="G55" i="41"/>
  <c r="G56" i="41"/>
  <c r="G57" i="41"/>
  <c r="G58" i="41"/>
  <c r="G59" i="41"/>
  <c r="G60" i="41"/>
  <c r="G61" i="41"/>
  <c r="G95" i="41" s="1"/>
  <c r="G62" i="41"/>
  <c r="G63" i="41"/>
  <c r="G64" i="41"/>
  <c r="G65" i="41"/>
  <c r="G66" i="41"/>
  <c r="G3" i="41"/>
  <c r="G4" i="41"/>
  <c r="G5" i="41"/>
  <c r="G39" i="41" s="1"/>
  <c r="G6" i="41"/>
  <c r="G7" i="41"/>
  <c r="G8" i="41"/>
  <c r="G9" i="41"/>
  <c r="G10" i="41"/>
  <c r="G11" i="41"/>
  <c r="G12" i="41"/>
  <c r="G13" i="41"/>
  <c r="G48" i="41" s="1"/>
  <c r="G14" i="41"/>
  <c r="D9" i="48"/>
  <c r="D8" i="48"/>
  <c r="D6" i="48"/>
  <c r="D4" i="48"/>
  <c r="D3" i="48"/>
  <c r="F195" i="41"/>
  <c r="F206" i="41" s="1"/>
  <c r="I11" i="47"/>
  <c r="G11" i="47"/>
  <c r="F119" i="41"/>
  <c r="J9" i="47" s="1"/>
  <c r="I9" i="47"/>
  <c r="G9" i="47"/>
  <c r="F55" i="41"/>
  <c r="F56" i="41"/>
  <c r="F57" i="41"/>
  <c r="F58" i="41"/>
  <c r="F68" i="41" s="1"/>
  <c r="F59" i="41"/>
  <c r="F60" i="41"/>
  <c r="F61" i="41"/>
  <c r="F62" i="41"/>
  <c r="F63" i="41"/>
  <c r="F64" i="41"/>
  <c r="F65" i="41"/>
  <c r="F66" i="41"/>
  <c r="F100" i="41" s="1"/>
  <c r="F3" i="41"/>
  <c r="F4" i="41"/>
  <c r="F5" i="41"/>
  <c r="F6" i="41"/>
  <c r="F7" i="41"/>
  <c r="F8" i="41"/>
  <c r="F9" i="41"/>
  <c r="F10" i="41"/>
  <c r="N10" i="41" s="1"/>
  <c r="F11" i="41"/>
  <c r="F12" i="41"/>
  <c r="F13" i="41"/>
  <c r="F14" i="41"/>
  <c r="D9" i="47"/>
  <c r="D6" i="47"/>
  <c r="D4" i="47"/>
  <c r="D4" i="45"/>
  <c r="D3" i="47"/>
  <c r="D3" i="46"/>
  <c r="D4" i="46"/>
  <c r="E195" i="41"/>
  <c r="I11" i="46"/>
  <c r="E119" i="41"/>
  <c r="E129" i="41" s="1"/>
  <c r="I9" i="46"/>
  <c r="E55" i="41"/>
  <c r="E90" i="41" s="1"/>
  <c r="E56" i="41"/>
  <c r="E57" i="41"/>
  <c r="E58" i="41"/>
  <c r="E59" i="41"/>
  <c r="E60" i="41"/>
  <c r="E61" i="41"/>
  <c r="E62" i="41"/>
  <c r="E63" i="41"/>
  <c r="E98" i="41" s="1"/>
  <c r="E64" i="41"/>
  <c r="E65" i="41"/>
  <c r="E66" i="41"/>
  <c r="E3" i="41"/>
  <c r="E4" i="41"/>
  <c r="E5" i="41"/>
  <c r="E6" i="41"/>
  <c r="E7" i="41"/>
  <c r="E42" i="41" s="1"/>
  <c r="E8" i="41"/>
  <c r="E9" i="41"/>
  <c r="E10" i="41"/>
  <c r="E11" i="41"/>
  <c r="E12" i="41"/>
  <c r="E13" i="41"/>
  <c r="E14" i="41"/>
  <c r="D9" i="43"/>
  <c r="D8" i="43"/>
  <c r="D9" i="44"/>
  <c r="D8" i="44"/>
  <c r="D8" i="45"/>
  <c r="G11" i="46"/>
  <c r="G9" i="46"/>
  <c r="D8" i="46"/>
  <c r="D9" i="45"/>
  <c r="D9" i="46"/>
  <c r="D6" i="46"/>
  <c r="D195" i="41"/>
  <c r="J11" i="45" s="1"/>
  <c r="D119" i="41"/>
  <c r="J9" i="45" s="1"/>
  <c r="D55" i="41"/>
  <c r="D56" i="41"/>
  <c r="D57" i="41"/>
  <c r="D92" i="41" s="1"/>
  <c r="D58" i="41"/>
  <c r="D59" i="41"/>
  <c r="D60" i="41"/>
  <c r="D61" i="41"/>
  <c r="D62" i="41"/>
  <c r="D63" i="41"/>
  <c r="D64" i="41"/>
  <c r="D65" i="41"/>
  <c r="D100" i="41" s="1"/>
  <c r="D66" i="41"/>
  <c r="D3" i="41"/>
  <c r="D4" i="41"/>
  <c r="D5" i="41"/>
  <c r="D6" i="41"/>
  <c r="D7" i="41"/>
  <c r="D8" i="41"/>
  <c r="D9" i="41"/>
  <c r="D44" i="41" s="1"/>
  <c r="D10" i="41"/>
  <c r="D11" i="41"/>
  <c r="D12" i="41"/>
  <c r="D13" i="41"/>
  <c r="D14" i="41"/>
  <c r="I11" i="45"/>
  <c r="I9" i="45"/>
  <c r="G11" i="45"/>
  <c r="G9" i="45"/>
  <c r="D6" i="45"/>
  <c r="D3" i="45"/>
  <c r="C195" i="41"/>
  <c r="J11" i="44" s="1"/>
  <c r="C119" i="41"/>
  <c r="J9" i="44" s="1"/>
  <c r="C55" i="41"/>
  <c r="C56" i="41"/>
  <c r="C57" i="41"/>
  <c r="C91" i="41" s="1"/>
  <c r="C58" i="41"/>
  <c r="C59" i="41"/>
  <c r="C60" i="41"/>
  <c r="C61" i="41"/>
  <c r="C62" i="41"/>
  <c r="C63" i="41"/>
  <c r="C64" i="41"/>
  <c r="C65" i="41"/>
  <c r="C99" i="41" s="1"/>
  <c r="C66" i="41"/>
  <c r="C3" i="41"/>
  <c r="C4" i="41"/>
  <c r="C5" i="41"/>
  <c r="C6" i="41"/>
  <c r="C7" i="41"/>
  <c r="C8" i="41"/>
  <c r="C9" i="41"/>
  <c r="C43" i="41" s="1"/>
  <c r="C10" i="41"/>
  <c r="C11" i="41"/>
  <c r="C12" i="41"/>
  <c r="C13" i="41"/>
  <c r="C14" i="41"/>
  <c r="I11" i="44"/>
  <c r="I9" i="44"/>
  <c r="G11" i="44"/>
  <c r="G9" i="44"/>
  <c r="D10" i="44"/>
  <c r="D7" i="44"/>
  <c r="D6" i="44"/>
  <c r="G5" i="39"/>
  <c r="D5" i="44" s="1"/>
  <c r="D4" i="44"/>
  <c r="D3" i="44"/>
  <c r="D3" i="43"/>
  <c r="O29" i="39"/>
  <c r="N29" i="39"/>
  <c r="M29" i="39"/>
  <c r="L29" i="39"/>
  <c r="K29" i="39"/>
  <c r="J29" i="39"/>
  <c r="I29" i="39"/>
  <c r="H29" i="39"/>
  <c r="G29" i="39"/>
  <c r="F29" i="39"/>
  <c r="E29" i="39"/>
  <c r="D29" i="39"/>
  <c r="D10" i="43"/>
  <c r="B195" i="41"/>
  <c r="J11" i="43" s="1"/>
  <c r="B119" i="41"/>
  <c r="J9" i="43" s="1"/>
  <c r="B55" i="41"/>
  <c r="B90" i="41" s="1"/>
  <c r="B56" i="41"/>
  <c r="B57" i="41"/>
  <c r="B58" i="41"/>
  <c r="B59" i="41"/>
  <c r="B60" i="41"/>
  <c r="B94" i="41" s="1"/>
  <c r="B61" i="41"/>
  <c r="B62" i="41"/>
  <c r="B96" i="41" s="1"/>
  <c r="B63" i="41"/>
  <c r="B97" i="41" s="1"/>
  <c r="B64" i="41"/>
  <c r="B65" i="41"/>
  <c r="B66" i="41"/>
  <c r="I11" i="43"/>
  <c r="I9" i="43"/>
  <c r="G11" i="43"/>
  <c r="G9" i="43"/>
  <c r="D7" i="43"/>
  <c r="D6" i="43"/>
  <c r="O54" i="39"/>
  <c r="N54" i="39"/>
  <c r="M54" i="39"/>
  <c r="L54" i="39"/>
  <c r="K54" i="39"/>
  <c r="J54" i="39"/>
  <c r="I54" i="39"/>
  <c r="H54" i="39"/>
  <c r="G54" i="39"/>
  <c r="F54" i="39"/>
  <c r="E54" i="39"/>
  <c r="D54" i="39"/>
  <c r="O53" i="39"/>
  <c r="N53" i="39"/>
  <c r="M53" i="39"/>
  <c r="L53" i="39"/>
  <c r="K53" i="39"/>
  <c r="J53" i="39"/>
  <c r="I53" i="39"/>
  <c r="H53" i="39"/>
  <c r="G53" i="39"/>
  <c r="P53" i="39" s="1"/>
  <c r="F53" i="39"/>
  <c r="E53" i="39"/>
  <c r="D53" i="39"/>
  <c r="O52" i="39"/>
  <c r="N52" i="39"/>
  <c r="M52" i="39"/>
  <c r="L52" i="39"/>
  <c r="K52" i="39"/>
  <c r="J52" i="39"/>
  <c r="I52" i="39"/>
  <c r="H52" i="39"/>
  <c r="G52" i="39"/>
  <c r="P52" i="39" s="1"/>
  <c r="F52" i="39"/>
  <c r="E52" i="39"/>
  <c r="D52" i="39"/>
  <c r="O51" i="39"/>
  <c r="N51" i="39"/>
  <c r="M51" i="39"/>
  <c r="L51" i="39"/>
  <c r="K51" i="39"/>
  <c r="J51" i="39"/>
  <c r="I51" i="39"/>
  <c r="H51" i="39"/>
  <c r="G51" i="39"/>
  <c r="P51" i="39" s="1"/>
  <c r="F51" i="39"/>
  <c r="E51" i="39"/>
  <c r="D51" i="39"/>
  <c r="O50" i="39"/>
  <c r="N50" i="39"/>
  <c r="M50" i="39"/>
  <c r="L50" i="39"/>
  <c r="K50" i="39"/>
  <c r="J50" i="39"/>
  <c r="I50" i="39"/>
  <c r="H50" i="39"/>
  <c r="G50" i="39"/>
  <c r="F50" i="39"/>
  <c r="E50" i="39"/>
  <c r="D50" i="39"/>
  <c r="O49" i="39"/>
  <c r="N49" i="39"/>
  <c r="M49" i="39"/>
  <c r="L49" i="39"/>
  <c r="K49" i="39"/>
  <c r="J49" i="39"/>
  <c r="I49" i="39"/>
  <c r="H49" i="39"/>
  <c r="G49" i="39"/>
  <c r="P49" i="39" s="1"/>
  <c r="F49" i="39"/>
  <c r="E49" i="39"/>
  <c r="D49" i="39"/>
  <c r="O48" i="39"/>
  <c r="N48" i="39"/>
  <c r="M48" i="39"/>
  <c r="L48" i="39"/>
  <c r="K48" i="39"/>
  <c r="J48" i="39"/>
  <c r="I48" i="39"/>
  <c r="H48" i="39"/>
  <c r="G48" i="39"/>
  <c r="P48" i="39" s="1"/>
  <c r="F48" i="39"/>
  <c r="E48" i="39"/>
  <c r="D48" i="39"/>
  <c r="O47" i="39"/>
  <c r="N47" i="39"/>
  <c r="M47" i="39"/>
  <c r="L47" i="39"/>
  <c r="K47" i="39"/>
  <c r="J47" i="39"/>
  <c r="I47" i="39"/>
  <c r="H47" i="39"/>
  <c r="G47" i="39"/>
  <c r="P47" i="39" s="1"/>
  <c r="F47" i="39"/>
  <c r="E47" i="39"/>
  <c r="D47" i="39"/>
  <c r="O46" i="39"/>
  <c r="N46" i="39"/>
  <c r="M46" i="39"/>
  <c r="L46" i="39"/>
  <c r="K46" i="39"/>
  <c r="J46" i="39"/>
  <c r="I46" i="39"/>
  <c r="H46" i="39"/>
  <c r="G46" i="39"/>
  <c r="F46" i="39"/>
  <c r="E46" i="39"/>
  <c r="D46" i="39"/>
  <c r="P54" i="39"/>
  <c r="P50" i="39"/>
  <c r="P46" i="39"/>
  <c r="O28" i="39"/>
  <c r="N28" i="39"/>
  <c r="M28" i="39"/>
  <c r="L28" i="39"/>
  <c r="K28" i="39"/>
  <c r="J28" i="39"/>
  <c r="I28" i="39"/>
  <c r="H28" i="39"/>
  <c r="G28" i="39"/>
  <c r="F28" i="39"/>
  <c r="E28" i="39"/>
  <c r="D28" i="39"/>
  <c r="O27" i="39"/>
  <c r="N27" i="39"/>
  <c r="M27" i="39"/>
  <c r="L27" i="39"/>
  <c r="K27" i="39"/>
  <c r="J27" i="39"/>
  <c r="I27" i="39"/>
  <c r="H27" i="39"/>
  <c r="G27" i="39"/>
  <c r="F27" i="39"/>
  <c r="E27" i="39"/>
  <c r="D27" i="39"/>
  <c r="P27" i="39" s="1"/>
  <c r="O26" i="39"/>
  <c r="N26" i="39"/>
  <c r="M26" i="39"/>
  <c r="L26" i="39"/>
  <c r="K26" i="39"/>
  <c r="J26" i="39"/>
  <c r="I26" i="39"/>
  <c r="H26" i="39"/>
  <c r="G26" i="39"/>
  <c r="F26" i="39"/>
  <c r="E26" i="39"/>
  <c r="D26" i="39"/>
  <c r="P26" i="39" s="1"/>
  <c r="O25" i="39"/>
  <c r="N25" i="39"/>
  <c r="M25" i="39"/>
  <c r="L25" i="39"/>
  <c r="K25" i="39"/>
  <c r="J25" i="39"/>
  <c r="I25" i="39"/>
  <c r="H25" i="39"/>
  <c r="G25" i="39"/>
  <c r="F25" i="39"/>
  <c r="E25" i="39"/>
  <c r="D25" i="39"/>
  <c r="P25" i="39" s="1"/>
  <c r="O24" i="39"/>
  <c r="N24" i="39"/>
  <c r="M24" i="39"/>
  <c r="L24" i="39"/>
  <c r="K24" i="39"/>
  <c r="J24" i="39"/>
  <c r="I24" i="39"/>
  <c r="H24" i="39"/>
  <c r="G24" i="39"/>
  <c r="F24" i="39"/>
  <c r="E24" i="39"/>
  <c r="D24" i="39"/>
  <c r="P24" i="39" s="1"/>
  <c r="O23" i="39"/>
  <c r="N23" i="39"/>
  <c r="M23" i="39"/>
  <c r="L23" i="39"/>
  <c r="K23" i="39"/>
  <c r="J23" i="39"/>
  <c r="I23" i="39"/>
  <c r="H23" i="39"/>
  <c r="G23" i="39"/>
  <c r="F23" i="39"/>
  <c r="E23" i="39"/>
  <c r="D23" i="39"/>
  <c r="P23" i="39" s="1"/>
  <c r="O22" i="39"/>
  <c r="N22" i="39"/>
  <c r="M22" i="39"/>
  <c r="L22" i="39"/>
  <c r="K22" i="39"/>
  <c r="J22" i="39"/>
  <c r="I22" i="39"/>
  <c r="H22" i="39"/>
  <c r="G22" i="39"/>
  <c r="F22" i="39"/>
  <c r="E22" i="39"/>
  <c r="D22" i="39"/>
  <c r="P22" i="39" s="1"/>
  <c r="O21" i="39"/>
  <c r="N21" i="39"/>
  <c r="M21" i="39"/>
  <c r="L21" i="39"/>
  <c r="K21" i="39"/>
  <c r="J21" i="39"/>
  <c r="I21" i="39"/>
  <c r="H21" i="39"/>
  <c r="G21" i="39"/>
  <c r="F21" i="39"/>
  <c r="E21" i="39"/>
  <c r="D21" i="39"/>
  <c r="P21" i="39" s="1"/>
  <c r="P65" i="39"/>
  <c r="P41" i="39"/>
  <c r="P40" i="39"/>
  <c r="P39" i="39"/>
  <c r="P38" i="39"/>
  <c r="P37" i="39"/>
  <c r="P36" i="39"/>
  <c r="P35" i="39"/>
  <c r="P33" i="39"/>
  <c r="P66" i="39"/>
  <c r="P64" i="39"/>
  <c r="P63" i="39"/>
  <c r="P62" i="39"/>
  <c r="P61" i="39"/>
  <c r="P60" i="39"/>
  <c r="P59" i="39"/>
  <c r="P58" i="39"/>
  <c r="P34" i="39"/>
  <c r="B3" i="41"/>
  <c r="B4" i="41"/>
  <c r="B5" i="41"/>
  <c r="B6" i="41"/>
  <c r="B7" i="41"/>
  <c r="B8" i="41"/>
  <c r="B43" i="41" s="1"/>
  <c r="B9" i="41"/>
  <c r="B10" i="41"/>
  <c r="B11" i="41"/>
  <c r="B12" i="41"/>
  <c r="B13" i="41"/>
  <c r="B47" i="41" s="1"/>
  <c r="B14" i="41"/>
  <c r="M228" i="41"/>
  <c r="L228" i="41"/>
  <c r="K228" i="41"/>
  <c r="I228" i="41"/>
  <c r="H228" i="41"/>
  <c r="G228" i="41"/>
  <c r="F228" i="41"/>
  <c r="E228" i="41"/>
  <c r="D228" i="41"/>
  <c r="C228" i="41"/>
  <c r="B228" i="41"/>
  <c r="M227" i="41"/>
  <c r="L227" i="41"/>
  <c r="K227" i="41"/>
  <c r="I227" i="41"/>
  <c r="H227" i="41"/>
  <c r="G227" i="41"/>
  <c r="F227" i="41"/>
  <c r="E227" i="41"/>
  <c r="D227" i="41"/>
  <c r="C227" i="41"/>
  <c r="B227" i="41"/>
  <c r="M226" i="41"/>
  <c r="L226" i="41"/>
  <c r="K226" i="41"/>
  <c r="I226" i="41"/>
  <c r="H226" i="41"/>
  <c r="G226" i="41"/>
  <c r="F226" i="41"/>
  <c r="E226" i="41"/>
  <c r="D226" i="41"/>
  <c r="C226" i="41"/>
  <c r="B226" i="41"/>
  <c r="M225" i="41"/>
  <c r="L225" i="41"/>
  <c r="K225" i="41"/>
  <c r="I225" i="41"/>
  <c r="H225" i="41"/>
  <c r="G225" i="41"/>
  <c r="F225" i="41"/>
  <c r="E225" i="41"/>
  <c r="D225" i="41"/>
  <c r="C225" i="41"/>
  <c r="B225" i="41"/>
  <c r="M224" i="41"/>
  <c r="L224" i="41"/>
  <c r="K224" i="41"/>
  <c r="I224" i="41"/>
  <c r="H224" i="41"/>
  <c r="G224" i="41"/>
  <c r="F224" i="41"/>
  <c r="E224" i="41"/>
  <c r="D224" i="41"/>
  <c r="C224" i="41"/>
  <c r="B224" i="41"/>
  <c r="M223" i="41"/>
  <c r="L223" i="41"/>
  <c r="K223" i="41"/>
  <c r="I223" i="41"/>
  <c r="H223" i="41"/>
  <c r="G223" i="41"/>
  <c r="F223" i="41"/>
  <c r="E223" i="41"/>
  <c r="D223" i="41"/>
  <c r="C223" i="41"/>
  <c r="B223" i="41"/>
  <c r="M222" i="41"/>
  <c r="L222" i="41"/>
  <c r="K222" i="41"/>
  <c r="I222" i="41"/>
  <c r="H222" i="41"/>
  <c r="G222" i="41"/>
  <c r="F222" i="41"/>
  <c r="E222" i="41"/>
  <c r="D222" i="41"/>
  <c r="C222" i="41"/>
  <c r="B222" i="41"/>
  <c r="M221" i="41"/>
  <c r="L221" i="41"/>
  <c r="K221" i="41"/>
  <c r="I221" i="41"/>
  <c r="H221" i="41"/>
  <c r="G221" i="41"/>
  <c r="F221" i="41"/>
  <c r="E221" i="41"/>
  <c r="D221" i="41"/>
  <c r="C221" i="41"/>
  <c r="B221" i="41"/>
  <c r="M220" i="41"/>
  <c r="L220" i="41"/>
  <c r="K220" i="41"/>
  <c r="I220" i="41"/>
  <c r="H220" i="41"/>
  <c r="G220" i="41"/>
  <c r="F220" i="41"/>
  <c r="E220" i="41"/>
  <c r="D220" i="41"/>
  <c r="C220" i="41"/>
  <c r="B220" i="41"/>
  <c r="M219" i="41"/>
  <c r="L219" i="41"/>
  <c r="K219" i="41"/>
  <c r="I219" i="41"/>
  <c r="H219" i="41"/>
  <c r="G219" i="41"/>
  <c r="F219" i="41"/>
  <c r="E219" i="41"/>
  <c r="D219" i="41"/>
  <c r="C219" i="41"/>
  <c r="B219" i="41"/>
  <c r="M218" i="41"/>
  <c r="L218" i="41"/>
  <c r="K218" i="41"/>
  <c r="I218" i="41"/>
  <c r="H218" i="41"/>
  <c r="G218" i="41"/>
  <c r="F218" i="41"/>
  <c r="E218" i="41"/>
  <c r="D218" i="41"/>
  <c r="C218" i="41"/>
  <c r="B218" i="41"/>
  <c r="L195" i="41"/>
  <c r="J11" i="53" s="1"/>
  <c r="G211" i="41"/>
  <c r="C211" i="41"/>
  <c r="K210" i="41"/>
  <c r="B210" i="41"/>
  <c r="I209" i="41"/>
  <c r="G207" i="41"/>
  <c r="C207" i="41"/>
  <c r="K206" i="41"/>
  <c r="B206" i="41"/>
  <c r="I205" i="41"/>
  <c r="G203" i="41"/>
  <c r="C203" i="41"/>
  <c r="K202" i="41"/>
  <c r="F202" i="41"/>
  <c r="B202" i="41"/>
  <c r="I201" i="41"/>
  <c r="G201" i="41"/>
  <c r="C201" i="41"/>
  <c r="M195" i="41"/>
  <c r="M209" i="41" s="1"/>
  <c r="K211" i="41"/>
  <c r="I210" i="41"/>
  <c r="H209" i="41"/>
  <c r="G212" i="41"/>
  <c r="D209" i="41"/>
  <c r="C212" i="41"/>
  <c r="B201" i="41"/>
  <c r="K201" i="41"/>
  <c r="C202" i="41"/>
  <c r="G202" i="41"/>
  <c r="D203" i="41"/>
  <c r="H203" i="41"/>
  <c r="I204" i="41"/>
  <c r="B205" i="41"/>
  <c r="K205" i="41"/>
  <c r="C206" i="41"/>
  <c r="G206" i="41"/>
  <c r="D207" i="41"/>
  <c r="H207" i="41"/>
  <c r="I208" i="41"/>
  <c r="B209" i="41"/>
  <c r="K209" i="41"/>
  <c r="C210" i="41"/>
  <c r="G210" i="41"/>
  <c r="D211" i="41"/>
  <c r="H211" i="41"/>
  <c r="M211" i="41"/>
  <c r="I212" i="41"/>
  <c r="D204" i="41"/>
  <c r="H204" i="41"/>
  <c r="D208" i="41"/>
  <c r="H208" i="41"/>
  <c r="H212" i="41"/>
  <c r="I203" i="41"/>
  <c r="B204" i="41"/>
  <c r="F204" i="41"/>
  <c r="K204" i="41"/>
  <c r="C205" i="41"/>
  <c r="G205" i="41"/>
  <c r="D206" i="41"/>
  <c r="H206" i="41"/>
  <c r="M206" i="41"/>
  <c r="I207" i="41"/>
  <c r="B208" i="41"/>
  <c r="K208" i="41"/>
  <c r="C209" i="41"/>
  <c r="G209" i="41"/>
  <c r="D210" i="41"/>
  <c r="H210" i="41"/>
  <c r="M210" i="41"/>
  <c r="I211" i="41"/>
  <c r="B212" i="41"/>
  <c r="K212" i="41"/>
  <c r="M204" i="41"/>
  <c r="M208" i="41"/>
  <c r="D212" i="41"/>
  <c r="D202" i="41"/>
  <c r="H202" i="41"/>
  <c r="D201" i="41"/>
  <c r="H201" i="41"/>
  <c r="M201" i="41"/>
  <c r="I202" i="41"/>
  <c r="I213" i="41" s="1"/>
  <c r="B203" i="41"/>
  <c r="F203" i="41"/>
  <c r="K203" i="41"/>
  <c r="C204" i="41"/>
  <c r="G204" i="41"/>
  <c r="D205" i="41"/>
  <c r="H205" i="41"/>
  <c r="M205" i="41"/>
  <c r="I206" i="41"/>
  <c r="B207" i="41"/>
  <c r="K207" i="41"/>
  <c r="C208" i="41"/>
  <c r="G208" i="41"/>
  <c r="B211" i="41"/>
  <c r="D10" i="54"/>
  <c r="H16" i="39"/>
  <c r="G4" i="39"/>
  <c r="D5" i="43" s="1"/>
  <c r="D4" i="43"/>
  <c r="N164" i="41"/>
  <c r="O164" i="41" s="1"/>
  <c r="N162" i="41"/>
  <c r="O162" i="41" s="1"/>
  <c r="N161" i="41"/>
  <c r="O161" i="41" s="1"/>
  <c r="N160" i="41"/>
  <c r="O160" i="41" s="1"/>
  <c r="N159" i="41"/>
  <c r="O159" i="41" s="1"/>
  <c r="N158" i="41"/>
  <c r="O158" i="41" s="1"/>
  <c r="N157" i="41"/>
  <c r="O157" i="41" s="1"/>
  <c r="N163" i="41"/>
  <c r="O163" i="41" s="1"/>
  <c r="I16" i="39"/>
  <c r="N16" i="39"/>
  <c r="M16" i="39"/>
  <c r="N120" i="41"/>
  <c r="B149" i="41"/>
  <c r="J143" i="41"/>
  <c r="N121" i="41"/>
  <c r="L118" i="41"/>
  <c r="H118" i="41"/>
  <c r="F142" i="41"/>
  <c r="D118" i="41"/>
  <c r="M66" i="41"/>
  <c r="L66" i="41"/>
  <c r="K66" i="41"/>
  <c r="M65" i="41"/>
  <c r="L65" i="41"/>
  <c r="K65" i="41"/>
  <c r="M64" i="41"/>
  <c r="M98" i="41" s="1"/>
  <c r="L64" i="41"/>
  <c r="L99" i="41" s="1"/>
  <c r="K64" i="41"/>
  <c r="M63" i="41"/>
  <c r="L63" i="41"/>
  <c r="K63" i="41"/>
  <c r="K98" i="41" s="1"/>
  <c r="M62" i="41"/>
  <c r="L62" i="41"/>
  <c r="K62" i="41"/>
  <c r="D97" i="41"/>
  <c r="M61" i="41"/>
  <c r="L61" i="41"/>
  <c r="K61" i="41"/>
  <c r="M60" i="41"/>
  <c r="M95" i="41" s="1"/>
  <c r="L60" i="41"/>
  <c r="K60" i="41"/>
  <c r="M59" i="41"/>
  <c r="M93" i="41" s="1"/>
  <c r="L59" i="41"/>
  <c r="L94" i="41" s="1"/>
  <c r="K59" i="41"/>
  <c r="M58" i="41"/>
  <c r="L58" i="41"/>
  <c r="K58" i="41"/>
  <c r="M57" i="41"/>
  <c r="L57" i="41"/>
  <c r="K57" i="41"/>
  <c r="K91" i="41" s="1"/>
  <c r="M56" i="41"/>
  <c r="L56" i="41"/>
  <c r="K56" i="41"/>
  <c r="M55" i="41"/>
  <c r="L55" i="41"/>
  <c r="K55" i="41"/>
  <c r="N69" i="41"/>
  <c r="AB67" i="41"/>
  <c r="AA67" i="41"/>
  <c r="Z67" i="41"/>
  <c r="Y67" i="41"/>
  <c r="X67" i="41"/>
  <c r="W67" i="41"/>
  <c r="V67" i="41"/>
  <c r="U67" i="41"/>
  <c r="T67" i="41"/>
  <c r="S67" i="41"/>
  <c r="R67" i="41"/>
  <c r="Q67" i="41"/>
  <c r="AC66" i="41"/>
  <c r="AC65" i="41"/>
  <c r="AC64" i="41"/>
  <c r="AC63" i="41"/>
  <c r="AC62" i="41"/>
  <c r="AC61" i="41"/>
  <c r="AC60" i="41"/>
  <c r="AC59" i="41"/>
  <c r="AC58" i="41"/>
  <c r="AC57" i="41"/>
  <c r="AC56" i="41"/>
  <c r="AC55" i="41"/>
  <c r="N17" i="41"/>
  <c r="L95" i="41"/>
  <c r="L96" i="41"/>
  <c r="L92" i="41"/>
  <c r="L100" i="41"/>
  <c r="H93" i="41"/>
  <c r="D93" i="41"/>
  <c r="L91" i="41"/>
  <c r="F99" i="41"/>
  <c r="L93" i="41"/>
  <c r="F96" i="41"/>
  <c r="L97" i="41"/>
  <c r="H97" i="41"/>
  <c r="F95" i="41"/>
  <c r="J99" i="41"/>
  <c r="B143" i="41"/>
  <c r="F144" i="41"/>
  <c r="J145" i="41"/>
  <c r="B146" i="41"/>
  <c r="F147" i="41"/>
  <c r="B148" i="41"/>
  <c r="J148" i="41"/>
  <c r="J149" i="41"/>
  <c r="B151" i="41"/>
  <c r="F151" i="41"/>
  <c r="B152" i="41"/>
  <c r="J152" i="41"/>
  <c r="B145" i="41"/>
  <c r="F150" i="41"/>
  <c r="F146" i="41"/>
  <c r="J151" i="41"/>
  <c r="F143" i="41"/>
  <c r="B144" i="41"/>
  <c r="J144" i="41"/>
  <c r="B147" i="41"/>
  <c r="F148" i="41"/>
  <c r="B150" i="41"/>
  <c r="F152" i="41"/>
  <c r="J147" i="41"/>
  <c r="D142" i="41"/>
  <c r="H142" i="41"/>
  <c r="L142" i="41"/>
  <c r="D143" i="41"/>
  <c r="H143" i="41"/>
  <c r="L143" i="41"/>
  <c r="D144" i="41"/>
  <c r="H144" i="41"/>
  <c r="L144" i="41"/>
  <c r="D145" i="41"/>
  <c r="H145" i="41"/>
  <c r="L145" i="41"/>
  <c r="D146" i="41"/>
  <c r="H146" i="41"/>
  <c r="L146" i="41"/>
  <c r="D147" i="41"/>
  <c r="H147" i="41"/>
  <c r="L147" i="41"/>
  <c r="D148" i="41"/>
  <c r="H148" i="41"/>
  <c r="L148" i="41"/>
  <c r="D149" i="41"/>
  <c r="H149" i="41"/>
  <c r="L149" i="41"/>
  <c r="D150" i="41"/>
  <c r="H150" i="41"/>
  <c r="L150" i="41"/>
  <c r="D151" i="41"/>
  <c r="H151" i="41"/>
  <c r="L151" i="41"/>
  <c r="D152" i="41"/>
  <c r="H152" i="41"/>
  <c r="L152" i="41"/>
  <c r="J142" i="41"/>
  <c r="F145" i="41"/>
  <c r="J146" i="41"/>
  <c r="F149" i="41"/>
  <c r="J150" i="41"/>
  <c r="K118" i="41"/>
  <c r="N109" i="41"/>
  <c r="N113" i="41"/>
  <c r="N117" i="41"/>
  <c r="G143" i="41"/>
  <c r="E145" i="41"/>
  <c r="K147" i="41"/>
  <c r="I149" i="41"/>
  <c r="G151" i="41"/>
  <c r="K151" i="41"/>
  <c r="I118" i="41"/>
  <c r="I142" i="41"/>
  <c r="C144" i="41"/>
  <c r="K144" i="41"/>
  <c r="I146" i="41"/>
  <c r="G148" i="41"/>
  <c r="N114" i="41"/>
  <c r="E150" i="41"/>
  <c r="M150" i="41"/>
  <c r="C152" i="41"/>
  <c r="K152" i="41"/>
  <c r="C142" i="41"/>
  <c r="G142" i="41"/>
  <c r="K142" i="41"/>
  <c r="N108" i="41"/>
  <c r="E144" i="41"/>
  <c r="I144" i="41"/>
  <c r="M144" i="41"/>
  <c r="C146" i="41"/>
  <c r="G146" i="41"/>
  <c r="K146" i="41"/>
  <c r="N112" i="41"/>
  <c r="E148" i="41"/>
  <c r="I148" i="41"/>
  <c r="M148" i="41"/>
  <c r="C150" i="41"/>
  <c r="G150" i="41"/>
  <c r="K150" i="41"/>
  <c r="N116" i="41"/>
  <c r="E152" i="41"/>
  <c r="I152" i="41"/>
  <c r="M152" i="41"/>
  <c r="G118" i="41"/>
  <c r="C143" i="41"/>
  <c r="K143" i="41"/>
  <c r="I145" i="41"/>
  <c r="M145" i="41"/>
  <c r="C147" i="41"/>
  <c r="G147" i="41"/>
  <c r="E149" i="41"/>
  <c r="M149" i="41"/>
  <c r="C151" i="41"/>
  <c r="K119" i="41"/>
  <c r="J9" i="52" s="1"/>
  <c r="B118" i="41"/>
  <c r="N106" i="41"/>
  <c r="F118" i="41"/>
  <c r="J118" i="41"/>
  <c r="E142" i="41"/>
  <c r="M142" i="41"/>
  <c r="G144" i="41"/>
  <c r="N110" i="41"/>
  <c r="E146" i="41"/>
  <c r="M146" i="41"/>
  <c r="C148" i="41"/>
  <c r="K148" i="41"/>
  <c r="I150" i="41"/>
  <c r="G152" i="41"/>
  <c r="C118" i="41"/>
  <c r="M119" i="41"/>
  <c r="J9" i="54" s="1"/>
  <c r="N107" i="41"/>
  <c r="E143" i="41"/>
  <c r="I143" i="41"/>
  <c r="M143" i="41"/>
  <c r="C145" i="41"/>
  <c r="G145" i="41"/>
  <c r="K145" i="41"/>
  <c r="N111" i="41"/>
  <c r="E147" i="41"/>
  <c r="I147" i="41"/>
  <c r="M147" i="41"/>
  <c r="C149" i="41"/>
  <c r="G149" i="41"/>
  <c r="K149" i="41"/>
  <c r="N115" i="41"/>
  <c r="E151" i="41"/>
  <c r="I151" i="41"/>
  <c r="M151" i="41"/>
  <c r="E118" i="41"/>
  <c r="M118" i="41"/>
  <c r="B142" i="41"/>
  <c r="L119" i="41"/>
  <c r="J9" i="53" s="1"/>
  <c r="L90" i="41"/>
  <c r="D96" i="41"/>
  <c r="L98" i="41"/>
  <c r="J90" i="41"/>
  <c r="I95" i="41"/>
  <c r="J98" i="41"/>
  <c r="H90" i="41"/>
  <c r="H94" i="41"/>
  <c r="J93" i="41"/>
  <c r="J97" i="41"/>
  <c r="F91" i="41"/>
  <c r="G90" i="41"/>
  <c r="M92" i="41"/>
  <c r="C94" i="41"/>
  <c r="M96" i="41"/>
  <c r="G91" i="41"/>
  <c r="E93" i="41"/>
  <c r="C95" i="41"/>
  <c r="I97" i="41"/>
  <c r="M97" i="41"/>
  <c r="G99" i="41"/>
  <c r="K99" i="41"/>
  <c r="I90" i="41"/>
  <c r="E94" i="41"/>
  <c r="K96" i="41"/>
  <c r="I98" i="41"/>
  <c r="K100" i="41"/>
  <c r="K94" i="41"/>
  <c r="I96" i="41"/>
  <c r="G98" i="41"/>
  <c r="K90" i="41"/>
  <c r="G94" i="41"/>
  <c r="K95" i="41"/>
  <c r="B91" i="41"/>
  <c r="B93" i="41"/>
  <c r="B98" i="41"/>
  <c r="B99" i="41"/>
  <c r="M14" i="41"/>
  <c r="L14" i="41"/>
  <c r="K14" i="41"/>
  <c r="M13" i="41"/>
  <c r="M48" i="41" s="1"/>
  <c r="L13" i="41"/>
  <c r="K13" i="41"/>
  <c r="M12" i="41"/>
  <c r="M47" i="41" s="1"/>
  <c r="L12" i="41"/>
  <c r="K12" i="41"/>
  <c r="M11" i="41"/>
  <c r="L11" i="41"/>
  <c r="K11" i="41"/>
  <c r="M10" i="41"/>
  <c r="L10" i="41"/>
  <c r="K10" i="41"/>
  <c r="K45" i="41" s="1"/>
  <c r="M9" i="41"/>
  <c r="L9" i="41"/>
  <c r="K9" i="41"/>
  <c r="B44" i="41"/>
  <c r="M8" i="41"/>
  <c r="L8" i="41"/>
  <c r="K8" i="41"/>
  <c r="M7" i="41"/>
  <c r="M42" i="41" s="1"/>
  <c r="L7" i="41"/>
  <c r="K7" i="41"/>
  <c r="M6" i="41"/>
  <c r="L6" i="41"/>
  <c r="K6" i="41"/>
  <c r="M5" i="41"/>
  <c r="L5" i="41"/>
  <c r="K5" i="41"/>
  <c r="K40" i="41" s="1"/>
  <c r="M4" i="41"/>
  <c r="L4" i="41"/>
  <c r="K4" i="41"/>
  <c r="K38" i="41" s="1"/>
  <c r="M3" i="41"/>
  <c r="L3" i="41"/>
  <c r="K3" i="41"/>
  <c r="AB15" i="41"/>
  <c r="AA15" i="41"/>
  <c r="Z15" i="41"/>
  <c r="Y15" i="41"/>
  <c r="X15" i="41"/>
  <c r="W15" i="41"/>
  <c r="V15" i="41"/>
  <c r="U15" i="41"/>
  <c r="T15" i="41"/>
  <c r="S15" i="41"/>
  <c r="R15" i="41"/>
  <c r="Q15" i="41"/>
  <c r="AC14" i="41"/>
  <c r="AC13" i="41"/>
  <c r="AC12" i="41"/>
  <c r="AC11" i="41"/>
  <c r="AC10" i="41"/>
  <c r="AC9" i="41"/>
  <c r="AC8" i="41"/>
  <c r="AC7" i="41"/>
  <c r="AC6" i="41"/>
  <c r="AC5" i="41"/>
  <c r="AC4" i="41"/>
  <c r="AC3" i="41"/>
  <c r="B213" i="41"/>
  <c r="B40" i="41"/>
  <c r="I48" i="41"/>
  <c r="B41" i="41"/>
  <c r="F41" i="41"/>
  <c r="B45" i="41"/>
  <c r="B48" i="41"/>
  <c r="I40" i="41"/>
  <c r="I44" i="41"/>
  <c r="M44" i="41"/>
  <c r="D47" i="41"/>
  <c r="L39" i="41"/>
  <c r="B136" i="41"/>
  <c r="C135" i="41"/>
  <c r="C131" i="41"/>
  <c r="C127" i="41"/>
  <c r="C125" i="41"/>
  <c r="C133" i="41"/>
  <c r="C129" i="41"/>
  <c r="C134" i="41"/>
  <c r="C130" i="41"/>
  <c r="C126" i="41"/>
  <c r="C136" i="41"/>
  <c r="C132" i="41"/>
  <c r="C128" i="41"/>
  <c r="K135" i="41"/>
  <c r="K131" i="41"/>
  <c r="K127" i="41"/>
  <c r="K136" i="41"/>
  <c r="K125" i="41"/>
  <c r="K133" i="41"/>
  <c r="K129" i="41"/>
  <c r="K134" i="41"/>
  <c r="K130" i="41"/>
  <c r="K126" i="41"/>
  <c r="K132" i="41"/>
  <c r="K128" i="41"/>
  <c r="L43" i="41"/>
  <c r="L47" i="41"/>
  <c r="H136" i="41"/>
  <c r="H132" i="41"/>
  <c r="H128" i="41"/>
  <c r="H125" i="41"/>
  <c r="H134" i="41"/>
  <c r="H130" i="41"/>
  <c r="H126" i="41"/>
  <c r="H135" i="41"/>
  <c r="H131" i="41"/>
  <c r="H127" i="41"/>
  <c r="H133" i="41"/>
  <c r="H129" i="41"/>
  <c r="M136" i="41"/>
  <c r="M132" i="41"/>
  <c r="M128" i="41"/>
  <c r="M131" i="41"/>
  <c r="M134" i="41"/>
  <c r="M130" i="41"/>
  <c r="M126" i="41"/>
  <c r="M133" i="41"/>
  <c r="M129" i="41"/>
  <c r="M125" i="41"/>
  <c r="M135" i="41"/>
  <c r="M127" i="41"/>
  <c r="E133" i="41"/>
  <c r="E125" i="41"/>
  <c r="E126" i="41"/>
  <c r="E135" i="41"/>
  <c r="E131" i="41"/>
  <c r="E127" i="41"/>
  <c r="E136" i="41"/>
  <c r="E128" i="41"/>
  <c r="G135" i="41"/>
  <c r="G131" i="41"/>
  <c r="G127" i="41"/>
  <c r="G136" i="41"/>
  <c r="G132" i="41"/>
  <c r="G128" i="41"/>
  <c r="G133" i="41"/>
  <c r="G129" i="41"/>
  <c r="G134" i="41"/>
  <c r="G130" i="41"/>
  <c r="G126" i="41"/>
  <c r="G125" i="41"/>
  <c r="F134" i="41"/>
  <c r="F130" i="41"/>
  <c r="F126" i="41"/>
  <c r="F131" i="41"/>
  <c r="F136" i="41"/>
  <c r="F132" i="41"/>
  <c r="F128" i="41"/>
  <c r="F133" i="41"/>
  <c r="F129" i="41"/>
  <c r="F125" i="41"/>
  <c r="F135" i="41"/>
  <c r="F127" i="41"/>
  <c r="D39" i="41"/>
  <c r="D136" i="41"/>
  <c r="D132" i="41"/>
  <c r="D128" i="41"/>
  <c r="D133" i="41"/>
  <c r="D129" i="41"/>
  <c r="D134" i="41"/>
  <c r="D130" i="41"/>
  <c r="D126" i="41"/>
  <c r="D135" i="41"/>
  <c r="D131" i="41"/>
  <c r="D127" i="41"/>
  <c r="D125" i="41"/>
  <c r="J134" i="41"/>
  <c r="J130" i="41"/>
  <c r="J126" i="41"/>
  <c r="J135" i="41"/>
  <c r="J131" i="41"/>
  <c r="J127" i="41"/>
  <c r="J136" i="41"/>
  <c r="J132" i="41"/>
  <c r="J128" i="41"/>
  <c r="J133" i="41"/>
  <c r="J129" i="41"/>
  <c r="J125" i="41"/>
  <c r="I133" i="41"/>
  <c r="I129" i="41"/>
  <c r="I125" i="41"/>
  <c r="I135" i="41"/>
  <c r="I131" i="41"/>
  <c r="I127" i="41"/>
  <c r="I136" i="41"/>
  <c r="I132" i="41"/>
  <c r="I128" i="41"/>
  <c r="I134" i="41"/>
  <c r="I130" i="41"/>
  <c r="I126" i="41"/>
  <c r="L38" i="41"/>
  <c r="H41" i="41"/>
  <c r="D46" i="41"/>
  <c r="F39" i="41"/>
  <c r="F40" i="41"/>
  <c r="F43" i="41"/>
  <c r="J43" i="41"/>
  <c r="J44" i="41"/>
  <c r="F47" i="41"/>
  <c r="F48" i="41"/>
  <c r="J48" i="41"/>
  <c r="D38" i="41"/>
  <c r="D41" i="41"/>
  <c r="H45" i="41"/>
  <c r="L46" i="41"/>
  <c r="J40" i="41"/>
  <c r="C38" i="41"/>
  <c r="C40" i="41"/>
  <c r="K41" i="41"/>
  <c r="K42" i="41"/>
  <c r="G44" i="41"/>
  <c r="G45" i="41"/>
  <c r="C48" i="41"/>
  <c r="K48" i="41"/>
  <c r="L41" i="41"/>
  <c r="L42" i="41"/>
  <c r="D45" i="41"/>
  <c r="L45" i="41"/>
  <c r="E38" i="41"/>
  <c r="M38" i="41"/>
  <c r="I39" i="41"/>
  <c r="M39" i="41"/>
  <c r="I42" i="41"/>
  <c r="I43" i="41"/>
  <c r="M43" i="41"/>
  <c r="E46" i="41"/>
  <c r="I46" i="41"/>
  <c r="I47" i="41"/>
  <c r="J41" i="41"/>
  <c r="J45" i="41"/>
  <c r="G38" i="41"/>
  <c r="G42" i="41"/>
  <c r="C46" i="41"/>
  <c r="G46" i="41"/>
  <c r="K46" i="41"/>
  <c r="F38" i="41"/>
  <c r="C39" i="41"/>
  <c r="D40" i="41"/>
  <c r="H40" i="41"/>
  <c r="L40" i="41"/>
  <c r="I41" i="41"/>
  <c r="F42" i="41"/>
  <c r="J42" i="41"/>
  <c r="G43" i="41"/>
  <c r="H44" i="41"/>
  <c r="L44" i="41"/>
  <c r="E45" i="41"/>
  <c r="F46" i="41"/>
  <c r="C47" i="41"/>
  <c r="K47" i="41"/>
  <c r="D48" i="41"/>
  <c r="H48" i="41"/>
  <c r="G41" i="41"/>
  <c r="C45" i="41"/>
  <c r="B42" i="41"/>
  <c r="B46" i="41"/>
  <c r="N6" i="41"/>
  <c r="B38" i="41"/>
  <c r="D10" i="53"/>
  <c r="D10" i="52"/>
  <c r="D10" i="51"/>
  <c r="D10" i="50"/>
  <c r="D10" i="49"/>
  <c r="D10" i="48"/>
  <c r="D10" i="47"/>
  <c r="D10" i="46"/>
  <c r="D10" i="45"/>
  <c r="O16" i="39"/>
  <c r="L16" i="39"/>
  <c r="D7" i="54"/>
  <c r="D7" i="53"/>
  <c r="D7" i="52"/>
  <c r="D7" i="50"/>
  <c r="D7" i="49"/>
  <c r="D7" i="48"/>
  <c r="D7" i="47"/>
  <c r="D7" i="46"/>
  <c r="D7" i="45"/>
  <c r="J16" i="39"/>
  <c r="K16" i="39" s="1"/>
  <c r="P16" i="39"/>
  <c r="F16" i="39"/>
  <c r="D16" i="39"/>
  <c r="G15" i="39"/>
  <c r="D5" i="54" s="1"/>
  <c r="G14" i="39"/>
  <c r="D5" i="53" s="1"/>
  <c r="G13" i="39"/>
  <c r="D5" i="52" s="1"/>
  <c r="G12" i="39"/>
  <c r="D5" i="51" s="1"/>
  <c r="G11" i="39"/>
  <c r="D5" i="50" s="1"/>
  <c r="G10" i="39"/>
  <c r="D5" i="49" s="1"/>
  <c r="G9" i="39"/>
  <c r="D5" i="48" s="1"/>
  <c r="G8" i="39"/>
  <c r="D5" i="47" s="1"/>
  <c r="G7" i="39"/>
  <c r="D5" i="46" s="1"/>
  <c r="G6" i="39"/>
  <c r="D5" i="45" s="1"/>
  <c r="L204" i="41" l="1"/>
  <c r="H213" i="41"/>
  <c r="L210" i="41"/>
  <c r="F210" i="41"/>
  <c r="M212" i="41"/>
  <c r="M202" i="41"/>
  <c r="M213" i="41" s="1"/>
  <c r="M207" i="41"/>
  <c r="M203" i="41"/>
  <c r="E41" i="41"/>
  <c r="F45" i="41"/>
  <c r="I94" i="41"/>
  <c r="L206" i="41"/>
  <c r="D213" i="41"/>
  <c r="L203" i="41"/>
  <c r="D43" i="41"/>
  <c r="N14" i="41"/>
  <c r="E97" i="41"/>
  <c r="F44" i="41"/>
  <c r="L202" i="41"/>
  <c r="N7" i="41"/>
  <c r="C98" i="41"/>
  <c r="C90" i="41"/>
  <c r="N12" i="41"/>
  <c r="K92" i="41"/>
  <c r="M99" i="41"/>
  <c r="C213" i="41"/>
  <c r="L201" i="41"/>
  <c r="B16" i="41"/>
  <c r="B29" i="41" s="1"/>
  <c r="G100" i="41"/>
  <c r="J100" i="41"/>
  <c r="C44" i="41"/>
  <c r="C100" i="41"/>
  <c r="L207" i="41"/>
  <c r="M40" i="41"/>
  <c r="K44" i="41"/>
  <c r="M46" i="41"/>
  <c r="K213" i="41"/>
  <c r="L212" i="41"/>
  <c r="J11" i="54"/>
  <c r="L209" i="41"/>
  <c r="L208" i="41"/>
  <c r="L205" i="41"/>
  <c r="L211" i="41"/>
  <c r="J96" i="41"/>
  <c r="F137" i="41"/>
  <c r="G137" i="41"/>
  <c r="M137" i="41"/>
  <c r="H137" i="41"/>
  <c r="C137" i="41"/>
  <c r="L133" i="41"/>
  <c r="L128" i="41"/>
  <c r="L125" i="41"/>
  <c r="L136" i="41"/>
  <c r="L127" i="41"/>
  <c r="L135" i="41"/>
  <c r="L126" i="41"/>
  <c r="L130" i="41"/>
  <c r="L129" i="41"/>
  <c r="K137" i="41"/>
  <c r="J137" i="41"/>
  <c r="N118" i="41"/>
  <c r="I137" i="41"/>
  <c r="D137" i="41"/>
  <c r="B127" i="41"/>
  <c r="B131" i="41"/>
  <c r="B125" i="41"/>
  <c r="B135" i="41"/>
  <c r="B129" i="41"/>
  <c r="B126" i="41"/>
  <c r="B133" i="41"/>
  <c r="B130" i="41"/>
  <c r="B128" i="41"/>
  <c r="B134" i="41"/>
  <c r="B132" i="41"/>
  <c r="F79" i="41"/>
  <c r="F77" i="41"/>
  <c r="AC67" i="41"/>
  <c r="K97" i="41"/>
  <c r="I67" i="41"/>
  <c r="I7" i="50" s="1"/>
  <c r="M100" i="41"/>
  <c r="N65" i="41"/>
  <c r="J94" i="41"/>
  <c r="F81" i="41"/>
  <c r="J67" i="41"/>
  <c r="I7" i="51" s="1"/>
  <c r="F92" i="41"/>
  <c r="E67" i="41"/>
  <c r="B95" i="41"/>
  <c r="M94" i="41"/>
  <c r="J5" i="43"/>
  <c r="B21" i="41"/>
  <c r="B23" i="41"/>
  <c r="B25" i="41"/>
  <c r="B28" i="41"/>
  <c r="K43" i="41"/>
  <c r="L15" i="41"/>
  <c r="G5" i="53" s="1"/>
  <c r="N13" i="41"/>
  <c r="N5" i="41"/>
  <c r="B31" i="41"/>
  <c r="L16" i="41"/>
  <c r="K16" i="41"/>
  <c r="C42" i="41"/>
  <c r="J39" i="41"/>
  <c r="L48" i="41"/>
  <c r="M45" i="41"/>
  <c r="J47" i="41"/>
  <c r="J46" i="41"/>
  <c r="I45" i="41"/>
  <c r="K39" i="41"/>
  <c r="C41" i="41"/>
  <c r="K15" i="41"/>
  <c r="D42" i="41"/>
  <c r="M16" i="41"/>
  <c r="M24" i="41" s="1"/>
  <c r="N9" i="41"/>
  <c r="M15" i="41"/>
  <c r="G5" i="54" s="1"/>
  <c r="B39" i="41"/>
  <c r="B49" i="41" s="1"/>
  <c r="M41" i="41"/>
  <c r="I38" i="41"/>
  <c r="G47" i="41"/>
  <c r="P28" i="39"/>
  <c r="P29" i="39"/>
  <c r="E130" i="41"/>
  <c r="E134" i="41"/>
  <c r="J9" i="46"/>
  <c r="E132" i="41"/>
  <c r="H43" i="41"/>
  <c r="G16" i="39"/>
  <c r="L30" i="41"/>
  <c r="L25" i="41"/>
  <c r="N8" i="41"/>
  <c r="E44" i="41"/>
  <c r="E43" i="41"/>
  <c r="E209" i="41"/>
  <c r="E205" i="41"/>
  <c r="E210" i="41"/>
  <c r="E204" i="41"/>
  <c r="E211" i="41"/>
  <c r="J11" i="46"/>
  <c r="E201" i="41"/>
  <c r="E212" i="41"/>
  <c r="E203" i="41"/>
  <c r="E202" i="41"/>
  <c r="E208" i="41"/>
  <c r="E207" i="41"/>
  <c r="E206" i="41"/>
  <c r="H100" i="41"/>
  <c r="H99" i="41"/>
  <c r="H96" i="41"/>
  <c r="H95" i="41"/>
  <c r="H92" i="41"/>
  <c r="H68" i="41"/>
  <c r="H67" i="41"/>
  <c r="H91" i="41"/>
  <c r="G7" i="51"/>
  <c r="AC15" i="41"/>
  <c r="E16" i="41"/>
  <c r="E31" i="41" s="1"/>
  <c r="E15" i="41"/>
  <c r="G7" i="46"/>
  <c r="I7" i="46"/>
  <c r="J7" i="47"/>
  <c r="F76" i="41"/>
  <c r="F84" i="41"/>
  <c r="F75" i="41"/>
  <c r="F74" i="41"/>
  <c r="F80" i="41"/>
  <c r="F83" i="41"/>
  <c r="F78" i="41"/>
  <c r="F97" i="41"/>
  <c r="F98" i="41"/>
  <c r="F94" i="41"/>
  <c r="N59" i="41"/>
  <c r="F93" i="41"/>
  <c r="F90" i="41"/>
  <c r="F67" i="41"/>
  <c r="H47" i="41"/>
  <c r="H16" i="41"/>
  <c r="H30" i="41" s="1"/>
  <c r="H15" i="41"/>
  <c r="H39" i="41"/>
  <c r="H38" i="41"/>
  <c r="N4" i="41"/>
  <c r="J5" i="53"/>
  <c r="L27" i="41"/>
  <c r="L21" i="41"/>
  <c r="E48" i="41"/>
  <c r="E40" i="41"/>
  <c r="E47" i="41"/>
  <c r="E39" i="41"/>
  <c r="H46" i="41"/>
  <c r="F73" i="41"/>
  <c r="I5" i="52"/>
  <c r="G5" i="52"/>
  <c r="G213" i="41"/>
  <c r="C97" i="41"/>
  <c r="C96" i="41"/>
  <c r="N62" i="41"/>
  <c r="C67" i="41"/>
  <c r="C92" i="41"/>
  <c r="C93" i="41"/>
  <c r="G97" i="41"/>
  <c r="G96" i="41"/>
  <c r="G92" i="41"/>
  <c r="G68" i="41"/>
  <c r="G76" i="41" s="1"/>
  <c r="G93" i="41"/>
  <c r="I5" i="54"/>
  <c r="F82" i="41"/>
  <c r="N63" i="41"/>
  <c r="N55" i="41"/>
  <c r="D99" i="41"/>
  <c r="N64" i="41"/>
  <c r="D98" i="41"/>
  <c r="D95" i="41"/>
  <c r="D94" i="41"/>
  <c r="N60" i="41"/>
  <c r="D68" i="41"/>
  <c r="D78" i="41" s="1"/>
  <c r="D67" i="41"/>
  <c r="D90" i="41"/>
  <c r="N56" i="41"/>
  <c r="D91" i="41"/>
  <c r="G16" i="41"/>
  <c r="G15" i="41"/>
  <c r="G40" i="41"/>
  <c r="L131" i="41"/>
  <c r="L134" i="41"/>
  <c r="L132" i="41"/>
  <c r="L67" i="41"/>
  <c r="L68" i="41"/>
  <c r="M91" i="41"/>
  <c r="M68" i="41"/>
  <c r="J7" i="54" s="1"/>
  <c r="M90" i="41"/>
  <c r="M67" i="41"/>
  <c r="K68" i="41"/>
  <c r="K67" i="41"/>
  <c r="K93" i="41"/>
  <c r="B15" i="41"/>
  <c r="F15" i="41"/>
  <c r="G5" i="47" s="1"/>
  <c r="F16" i="41"/>
  <c r="G67" i="41"/>
  <c r="N66" i="41"/>
  <c r="B100" i="41"/>
  <c r="B92" i="41"/>
  <c r="N58" i="41"/>
  <c r="C68" i="41"/>
  <c r="D15" i="41"/>
  <c r="G5" i="45" s="1"/>
  <c r="E100" i="41"/>
  <c r="E99" i="41"/>
  <c r="E95" i="41"/>
  <c r="N61" i="41"/>
  <c r="E96" i="41"/>
  <c r="N57" i="41"/>
  <c r="E91" i="41"/>
  <c r="E68" i="41"/>
  <c r="E92" i="41"/>
  <c r="I16" i="41"/>
  <c r="I15" i="41"/>
  <c r="I100" i="41"/>
  <c r="I99" i="41"/>
  <c r="I92" i="41"/>
  <c r="I68" i="41"/>
  <c r="I91" i="41"/>
  <c r="J16" i="41"/>
  <c r="J15" i="41"/>
  <c r="J92" i="41"/>
  <c r="J91" i="41"/>
  <c r="J68" i="41"/>
  <c r="B68" i="41"/>
  <c r="C16" i="41"/>
  <c r="C15" i="41"/>
  <c r="D16" i="41"/>
  <c r="F201" i="41"/>
  <c r="F208" i="41"/>
  <c r="F207" i="41"/>
  <c r="J11" i="47"/>
  <c r="F209" i="41"/>
  <c r="F211" i="41"/>
  <c r="F205" i="41"/>
  <c r="F212" i="41"/>
  <c r="I5" i="53"/>
  <c r="B67" i="41"/>
  <c r="B27" i="41" l="1"/>
  <c r="M27" i="41"/>
  <c r="G7" i="50"/>
  <c r="B24" i="41"/>
  <c r="L213" i="41"/>
  <c r="B22" i="41"/>
  <c r="B33" i="41" s="1"/>
  <c r="B26" i="41"/>
  <c r="B30" i="41"/>
  <c r="B32" i="41"/>
  <c r="M84" i="41"/>
  <c r="G80" i="41"/>
  <c r="E137" i="41"/>
  <c r="L137" i="41"/>
  <c r="B137" i="41"/>
  <c r="D74" i="41"/>
  <c r="J5" i="54"/>
  <c r="M23" i="41"/>
  <c r="M22" i="41"/>
  <c r="M82" i="41"/>
  <c r="M21" i="41"/>
  <c r="M75" i="41"/>
  <c r="M30" i="41"/>
  <c r="M73" i="41"/>
  <c r="M78" i="41"/>
  <c r="M81" i="41"/>
  <c r="M80" i="41"/>
  <c r="M74" i="41"/>
  <c r="M76" i="41"/>
  <c r="M32" i="41"/>
  <c r="M77" i="41"/>
  <c r="M31" i="41"/>
  <c r="M28" i="41"/>
  <c r="M26" i="41"/>
  <c r="M83" i="41"/>
  <c r="M25" i="41"/>
  <c r="M79" i="41"/>
  <c r="M29" i="41"/>
  <c r="J5" i="52"/>
  <c r="K32" i="41"/>
  <c r="K26" i="41"/>
  <c r="K30" i="41"/>
  <c r="K28" i="41"/>
  <c r="K24" i="41"/>
  <c r="K29" i="41"/>
  <c r="K25" i="41"/>
  <c r="K21" i="41"/>
  <c r="K31" i="41"/>
  <c r="K23" i="41"/>
  <c r="K22" i="41"/>
  <c r="L24" i="41"/>
  <c r="L22" i="41"/>
  <c r="L29" i="41"/>
  <c r="L31" i="41"/>
  <c r="L26" i="41"/>
  <c r="L28" i="41"/>
  <c r="L23" i="41"/>
  <c r="K27" i="41"/>
  <c r="L32" i="41"/>
  <c r="J7" i="50"/>
  <c r="I73" i="41"/>
  <c r="I78" i="41"/>
  <c r="I81" i="41"/>
  <c r="I76" i="41"/>
  <c r="I84" i="41"/>
  <c r="I82" i="41"/>
  <c r="I80" i="41"/>
  <c r="I74" i="41"/>
  <c r="I77" i="41"/>
  <c r="I79" i="41"/>
  <c r="I5" i="44"/>
  <c r="G5" i="44"/>
  <c r="J5" i="50"/>
  <c r="I30" i="41"/>
  <c r="I23" i="41"/>
  <c r="I27" i="41"/>
  <c r="I25" i="41"/>
  <c r="I29" i="41"/>
  <c r="I32" i="41"/>
  <c r="I26" i="41"/>
  <c r="I31" i="41"/>
  <c r="I21" i="41"/>
  <c r="I22" i="41"/>
  <c r="I24" i="41"/>
  <c r="I28" i="41"/>
  <c r="G7" i="48"/>
  <c r="I7" i="48"/>
  <c r="I7" i="53"/>
  <c r="G7" i="53"/>
  <c r="J5" i="48"/>
  <c r="G25" i="41"/>
  <c r="G29" i="41"/>
  <c r="G28" i="41"/>
  <c r="G21" i="41"/>
  <c r="G24" i="41"/>
  <c r="G30" i="41"/>
  <c r="G27" i="41"/>
  <c r="G32" i="41"/>
  <c r="G26" i="41"/>
  <c r="G22" i="41"/>
  <c r="G23" i="41"/>
  <c r="G31" i="41"/>
  <c r="J5" i="49"/>
  <c r="H25" i="41"/>
  <c r="H31" i="41"/>
  <c r="H32" i="41"/>
  <c r="H21" i="41"/>
  <c r="H22" i="41"/>
  <c r="H28" i="41"/>
  <c r="H24" i="41"/>
  <c r="H27" i="41"/>
  <c r="H23" i="41"/>
  <c r="H29" i="41"/>
  <c r="I5" i="46"/>
  <c r="G5" i="46"/>
  <c r="J7" i="49"/>
  <c r="H73" i="41"/>
  <c r="H78" i="41"/>
  <c r="H74" i="41"/>
  <c r="H84" i="41"/>
  <c r="H80" i="41"/>
  <c r="H81" i="41"/>
  <c r="H82" i="41"/>
  <c r="H79" i="41"/>
  <c r="H77" i="41"/>
  <c r="H76" i="41"/>
  <c r="H83" i="41"/>
  <c r="H26" i="41"/>
  <c r="G7" i="43"/>
  <c r="I7" i="43"/>
  <c r="N67" i="41"/>
  <c r="J5" i="44"/>
  <c r="C24" i="41"/>
  <c r="C23" i="41"/>
  <c r="C30" i="41"/>
  <c r="C27" i="41"/>
  <c r="C21" i="41"/>
  <c r="C26" i="41"/>
  <c r="C32" i="41"/>
  <c r="C28" i="41"/>
  <c r="C29" i="41"/>
  <c r="C25" i="41"/>
  <c r="C31" i="41"/>
  <c r="C22" i="41"/>
  <c r="I83" i="41"/>
  <c r="J5" i="47"/>
  <c r="F31" i="41"/>
  <c r="F29" i="41"/>
  <c r="F22" i="41"/>
  <c r="F27" i="41"/>
  <c r="F25" i="41"/>
  <c r="F24" i="41"/>
  <c r="F28" i="41"/>
  <c r="F21" i="41"/>
  <c r="F30" i="41"/>
  <c r="F32" i="41"/>
  <c r="F26" i="41"/>
  <c r="F23" i="41"/>
  <c r="G7" i="52"/>
  <c r="I7" i="52"/>
  <c r="G7" i="45"/>
  <c r="I7" i="45"/>
  <c r="J5" i="46"/>
  <c r="E30" i="41"/>
  <c r="E24" i="41"/>
  <c r="E28" i="41"/>
  <c r="E32" i="41"/>
  <c r="E22" i="41"/>
  <c r="E27" i="41"/>
  <c r="E25" i="41"/>
  <c r="E23" i="41"/>
  <c r="E29" i="41"/>
  <c r="E26" i="41"/>
  <c r="E21" i="41"/>
  <c r="E213" i="41"/>
  <c r="F213" i="41"/>
  <c r="J7" i="43"/>
  <c r="B75" i="41"/>
  <c r="B78" i="41"/>
  <c r="B74" i="41"/>
  <c r="B83" i="41"/>
  <c r="B76" i="41"/>
  <c r="B79" i="41"/>
  <c r="B77" i="41"/>
  <c r="B73" i="41"/>
  <c r="B80" i="41"/>
  <c r="B82" i="41"/>
  <c r="B81" i="41"/>
  <c r="B84" i="41"/>
  <c r="G5" i="51"/>
  <c r="I5" i="51"/>
  <c r="J7" i="46"/>
  <c r="E77" i="41"/>
  <c r="E82" i="41"/>
  <c r="E75" i="41"/>
  <c r="E76" i="41"/>
  <c r="E81" i="41"/>
  <c r="E78" i="41"/>
  <c r="E84" i="41"/>
  <c r="E79" i="41"/>
  <c r="E80" i="41"/>
  <c r="E83" i="41"/>
  <c r="E74" i="41"/>
  <c r="E73" i="41"/>
  <c r="I5" i="45"/>
  <c r="I5" i="47"/>
  <c r="J7" i="52"/>
  <c r="K84" i="41"/>
  <c r="K73" i="41"/>
  <c r="K79" i="41"/>
  <c r="K75" i="41"/>
  <c r="K80" i="41"/>
  <c r="K74" i="41"/>
  <c r="K81" i="41"/>
  <c r="K77" i="41"/>
  <c r="K82" i="41"/>
  <c r="K76" i="41"/>
  <c r="K83" i="41"/>
  <c r="K78" i="41"/>
  <c r="D80" i="41"/>
  <c r="J7" i="45"/>
  <c r="D77" i="41"/>
  <c r="D73" i="41"/>
  <c r="D75" i="41"/>
  <c r="D76" i="41"/>
  <c r="D83" i="41"/>
  <c r="D84" i="41"/>
  <c r="D82" i="41"/>
  <c r="D79" i="41"/>
  <c r="D81" i="41"/>
  <c r="G77" i="41"/>
  <c r="J7" i="48"/>
  <c r="G75" i="41"/>
  <c r="G83" i="41"/>
  <c r="G79" i="41"/>
  <c r="G81" i="41"/>
  <c r="G74" i="41"/>
  <c r="G82" i="41"/>
  <c r="G78" i="41"/>
  <c r="G84" i="41"/>
  <c r="G73" i="41"/>
  <c r="G7" i="44"/>
  <c r="I7" i="44"/>
  <c r="H75" i="41"/>
  <c r="J5" i="45"/>
  <c r="D27" i="41"/>
  <c r="D28" i="41"/>
  <c r="D21" i="41"/>
  <c r="D30" i="41"/>
  <c r="D32" i="41"/>
  <c r="D29" i="41"/>
  <c r="D22" i="41"/>
  <c r="D25" i="41"/>
  <c r="D23" i="41"/>
  <c r="D24" i="41"/>
  <c r="D26" i="41"/>
  <c r="D31" i="41"/>
  <c r="J7" i="51"/>
  <c r="J77" i="41"/>
  <c r="J74" i="41"/>
  <c r="J73" i="41"/>
  <c r="J75" i="41"/>
  <c r="J79" i="41"/>
  <c r="J76" i="41"/>
  <c r="J78" i="41"/>
  <c r="J80" i="41"/>
  <c r="J81" i="41"/>
  <c r="J84" i="41"/>
  <c r="J82" i="41"/>
  <c r="J83" i="41"/>
  <c r="J31" i="41"/>
  <c r="J5" i="51"/>
  <c r="J26" i="41"/>
  <c r="J24" i="41"/>
  <c r="J23" i="41"/>
  <c r="J21" i="41"/>
  <c r="J25" i="41"/>
  <c r="J22" i="41"/>
  <c r="J29" i="41"/>
  <c r="J28" i="41"/>
  <c r="J27" i="41"/>
  <c r="J30" i="41"/>
  <c r="J32" i="41"/>
  <c r="I75" i="41"/>
  <c r="I5" i="50"/>
  <c r="G5" i="50"/>
  <c r="J7" i="44"/>
  <c r="C77" i="41"/>
  <c r="C81" i="41"/>
  <c r="C82" i="41"/>
  <c r="C79" i="41"/>
  <c r="C74" i="41"/>
  <c r="C83" i="41"/>
  <c r="C73" i="41"/>
  <c r="C78" i="41"/>
  <c r="C75" i="41"/>
  <c r="C84" i="41"/>
  <c r="I5" i="43"/>
  <c r="G5" i="43"/>
  <c r="N15" i="41"/>
  <c r="I7" i="54"/>
  <c r="G7" i="54"/>
  <c r="L74" i="41"/>
  <c r="L79" i="41"/>
  <c r="J7" i="53"/>
  <c r="L80" i="41"/>
  <c r="L83" i="41"/>
  <c r="L75" i="41"/>
  <c r="L77" i="41"/>
  <c r="L81" i="41"/>
  <c r="L76" i="41"/>
  <c r="L84" i="41"/>
  <c r="L73" i="41"/>
  <c r="L82" i="41"/>
  <c r="L78" i="41"/>
  <c r="I5" i="48"/>
  <c r="G5" i="48"/>
  <c r="C76" i="41"/>
  <c r="C80" i="41"/>
  <c r="F85" i="41"/>
  <c r="G5" i="49"/>
  <c r="I5" i="49"/>
  <c r="I7" i="47"/>
  <c r="G7" i="47"/>
  <c r="I7" i="49"/>
  <c r="G7" i="49"/>
  <c r="M85" i="41" l="1"/>
  <c r="M33" i="41"/>
  <c r="L33" i="41"/>
  <c r="B85" i="41"/>
  <c r="D85" i="41"/>
  <c r="F33" i="41"/>
  <c r="I33" i="41"/>
  <c r="K33" i="41"/>
  <c r="J33" i="41"/>
  <c r="D33" i="41"/>
  <c r="E33" i="41"/>
  <c r="H33" i="41"/>
  <c r="G33" i="41"/>
  <c r="C85" i="41"/>
  <c r="E85" i="41"/>
  <c r="C33" i="41"/>
  <c r="H85" i="41"/>
  <c r="I85" i="41"/>
  <c r="L85" i="41"/>
  <c r="J85" i="41"/>
  <c r="G85" i="41"/>
  <c r="K85" i="41"/>
</calcChain>
</file>

<file path=xl/sharedStrings.xml><?xml version="1.0" encoding="utf-8"?>
<sst xmlns="http://schemas.openxmlformats.org/spreadsheetml/2006/main" count="1108" uniqueCount="182">
  <si>
    <t>Unique Data Sets</t>
    <phoneticPr fontId="0" type="noConversion"/>
  </si>
  <si>
    <t>Distinct Users of EOSDIS Data and Services</t>
  </si>
  <si>
    <t xml:space="preserve">Web Site Visits </t>
    <phoneticPr fontId="0" type="noConversion"/>
  </si>
  <si>
    <t>Average Archive Growth</t>
    <phoneticPr fontId="0" type="noConversion"/>
  </si>
  <si>
    <t>Total Archive Volume</t>
  </si>
  <si>
    <t>End User Distribution Products</t>
  </si>
  <si>
    <t>End User Average Distribution Volume</t>
    <phoneticPr fontId="0" type="noConversion"/>
  </si>
  <si>
    <t>ASDC</t>
  </si>
  <si>
    <t>ASF</t>
  </si>
  <si>
    <t>CDDIS</t>
  </si>
  <si>
    <t>GESDISC</t>
  </si>
  <si>
    <t>GHRC</t>
  </si>
  <si>
    <t>MODAPS</t>
  </si>
  <si>
    <t>NSIDC</t>
  </si>
  <si>
    <t>ORNL</t>
  </si>
  <si>
    <t>SEDAC</t>
  </si>
  <si>
    <t>Total</t>
  </si>
  <si>
    <t>PO.DAAC</t>
  </si>
  <si>
    <t>Products By Month</t>
  </si>
  <si>
    <t>LP DAAC</t>
  </si>
  <si>
    <t>Total Products</t>
  </si>
  <si>
    <t>Month</t>
  </si>
  <si>
    <t>FY2015</t>
  </si>
  <si>
    <t>Distinct Web Visitor (1 min+)</t>
  </si>
  <si>
    <t>Distinct Users</t>
  </si>
  <si>
    <t>OB.DAAC</t>
  </si>
  <si>
    <t>User</t>
  </si>
  <si>
    <t>Unique Data set</t>
  </si>
  <si>
    <t>Data users Only</t>
  </si>
  <si>
    <t>webvisit</t>
  </si>
  <si>
    <t>growth rate</t>
  </si>
  <si>
    <t>Products (Million)</t>
  </si>
  <si>
    <t>Vol (TB)</t>
  </si>
  <si>
    <t>per day</t>
  </si>
  <si>
    <t xml:space="preserve">Change from
</t>
  </si>
  <si>
    <t>12 Month</t>
  </si>
  <si>
    <t>Average</t>
  </si>
  <si>
    <t>Trend</t>
  </si>
  <si>
    <t>mean</t>
  </si>
  <si>
    <t>gain/loss from 12 month mean</t>
  </si>
  <si>
    <t>gain/loss from previous month</t>
  </si>
  <si>
    <t xml:space="preserve">Monthly </t>
  </si>
  <si>
    <t>Volume distributed</t>
  </si>
  <si>
    <t>Vol (GB)</t>
  </si>
  <si>
    <t>Number of Users</t>
  </si>
  <si>
    <t>Fy15 total</t>
  </si>
  <si>
    <t>DAAC</t>
  </si>
  <si>
    <t>FY08</t>
  </si>
  <si>
    <t>FY09</t>
  </si>
  <si>
    <t>FY10</t>
  </si>
  <si>
    <t>FY11</t>
  </si>
  <si>
    <t>FY12</t>
  </si>
  <si>
    <t>FY13</t>
  </si>
  <si>
    <t>FY14</t>
  </si>
  <si>
    <t>Total Archive Volume (TB)</t>
  </si>
  <si>
    <t>FY15</t>
  </si>
  <si>
    <t>total</t>
  </si>
  <si>
    <t>Fiscal Year</t>
  </si>
  <si>
    <t>% of Web Users using the Data</t>
  </si>
  <si>
    <t>GES DISC</t>
  </si>
  <si>
    <t>LPDAAC</t>
  </si>
  <si>
    <t>VISITORS</t>
  </si>
  <si>
    <t>VISITS</t>
  </si>
  <si>
    <t>VIEWS</t>
  </si>
  <si>
    <t>Grand Total</t>
  </si>
  <si>
    <t># of Web Visitors</t>
  </si>
  <si>
    <t>gain/loss from 12 month mean (Web Visitor)</t>
  </si>
  <si>
    <t>gain/loss from previous month (Web visitor)</t>
  </si>
  <si>
    <t>Data User</t>
  </si>
  <si>
    <t>FY07</t>
  </si>
  <si>
    <t>Fiscal year</t>
  </si>
  <si>
    <t># of Web Visits, Views, and Visitors by Year</t>
  </si>
  <si>
    <t>Volume (TB)</t>
  </si>
  <si>
    <t>EOSDIS</t>
  </si>
  <si>
    <t>Item</t>
  </si>
  <si>
    <t>Number of Files Distirbuted</t>
  </si>
  <si>
    <t>Number of Files Distirbuted (Million)</t>
  </si>
  <si>
    <t>Web User</t>
  </si>
  <si>
    <t>Files 
(Millions)</t>
  </si>
  <si>
    <t>Not Available</t>
  </si>
  <si>
    <t>Unique Data Sets</t>
    <phoneticPr fontId="0" type="noConversion"/>
  </si>
  <si>
    <t xml:space="preserve">Web Site Visits </t>
    <phoneticPr fontId="0" type="noConversion"/>
  </si>
  <si>
    <t>Average Archive Growth</t>
    <phoneticPr fontId="0" type="noConversion"/>
  </si>
  <si>
    <t>End User Average Distribution Volume</t>
    <phoneticPr fontId="0" type="noConversion"/>
  </si>
  <si>
    <t>If you have any questions or comments, please contact Jeanne Behnke at (301) 614-5326 or jeanne.behnke@nasa.gov.</t>
  </si>
  <si>
    <t>Number of Files distributed (million)</t>
  </si>
  <si>
    <t>This worksheet contains tables of metrics data from each DAAC for fiscal years FY07 to the present. Data includes key metrics and distribution data (files, volume, number of users).</t>
  </si>
  <si>
    <t>Total Archive Vol (TB)</t>
  </si>
  <si>
    <r>
      <t xml:space="preserve">
</t>
    </r>
    <r>
      <rPr>
        <sz val="36"/>
        <rFont val="Arial"/>
        <family val="2"/>
      </rPr>
      <t xml:space="preserve">
EOSDIS DAAC Profiles
FY2016
Part of the Annual Metrics Report</t>
    </r>
    <r>
      <rPr>
        <sz val="10"/>
        <rFont val="Arial"/>
        <family val="2"/>
      </rPr>
      <t xml:space="preserve">
</t>
    </r>
  </si>
  <si>
    <t>FY2016</t>
  </si>
  <si>
    <t>ASDC Summary for FY 2016</t>
  </si>
  <si>
    <t>ASF Summary for FY 2016</t>
  </si>
  <si>
    <t>CDDIS Summary for FY 2016</t>
  </si>
  <si>
    <t xml:space="preserve">
Prepared By:
Lalit Wanchoo, Adnet Systems, Inc.
Young-In Won, Wyle, Inc.
Durga Kafle, Adnet Systems, Inc
December 2016</t>
  </si>
  <si>
    <t>GESDISC Summary for FY 2016</t>
  </si>
  <si>
    <t>GHRC Summary for FY 2016</t>
  </si>
  <si>
    <t>LPDAAC Summary for FY 2016</t>
  </si>
  <si>
    <t>MODAPS Summary for FY 2016</t>
  </si>
  <si>
    <t>NSIDC Summary for FY 2016</t>
  </si>
  <si>
    <t>OB.DAAC Summary for FY 2016</t>
  </si>
  <si>
    <t>ORNL Summary for FY 2016</t>
  </si>
  <si>
    <t>PO.DAAC Summary for FY 2016</t>
  </si>
  <si>
    <t>SEDAC Summary for FY 2016</t>
  </si>
  <si>
    <t>2016-01</t>
  </si>
  <si>
    <t>2016-02</t>
  </si>
  <si>
    <t>2016-03</t>
  </si>
  <si>
    <t>2016-04</t>
  </si>
  <si>
    <t>2016-05</t>
  </si>
  <si>
    <t>2016-06</t>
  </si>
  <si>
    <t>2016-07</t>
  </si>
  <si>
    <t>2016-08</t>
  </si>
  <si>
    <t>2016-09</t>
  </si>
  <si>
    <t>FY2016 Metrics (Oct. 1, 2015 to Sept. 30, 2016)</t>
  </si>
  <si>
    <t>2015-10</t>
  </si>
  <si>
    <t>2015-11</t>
  </si>
  <si>
    <t>2015-12</t>
  </si>
  <si>
    <t>2.35 M</t>
  </si>
  <si>
    <t>17.5 PB</t>
  </si>
  <si>
    <t>40.03 TB/day</t>
  </si>
  <si>
    <t>1,512.9 M</t>
  </si>
  <si>
    <t>FY16</t>
  </si>
  <si>
    <t>Fy15 archive Vol (TB)</t>
  </si>
  <si>
    <t>FY15 archive files (Millions)</t>
  </si>
  <si>
    <t>Fy16 archive file (mil)</t>
  </si>
  <si>
    <t>Fy16 archive (TB)</t>
  </si>
  <si>
    <t>17,923.2 TB</t>
  </si>
  <si>
    <t>40,987.6 GB/day</t>
  </si>
  <si>
    <t>12,355.2 GB/day</t>
  </si>
  <si>
    <t>12.07 TB/day</t>
  </si>
  <si>
    <t>Fy15 Total</t>
  </si>
  <si>
    <t>LARC ANGE</t>
  </si>
  <si>
    <t>LARC ECS</t>
  </si>
  <si>
    <t>LARC ORDERS</t>
  </si>
  <si>
    <t>LARC SVC</t>
  </si>
  <si>
    <t>LPDAAC
DEM</t>
  </si>
  <si>
    <t>LPDAAC
LTA</t>
  </si>
  <si>
    <t>LPDAAC
MRTWEB</t>
  </si>
  <si>
    <t>NSIDC
SRCHLT</t>
  </si>
  <si>
    <t>NSIDCV0</t>
  </si>
  <si>
    <t>PODAACDS</t>
  </si>
  <si>
    <t>Fy16 total</t>
  </si>
  <si>
    <t>(from Web-Visitors Tab in annual report</t>
  </si>
  <si>
    <t>(from Web-Visitors Tab in annual report, not the sum of monthly web visitors)</t>
  </si>
  <si>
    <t>(Oct 2015 to Sep 2016)</t>
  </si>
  <si>
    <r>
      <rPr>
        <sz val="10"/>
        <rFont val="Arial"/>
        <family val="2"/>
      </rPr>
      <t>This file contains tables and graphs of FY2016 metrics and trends for each EOSDIS DAAC plus the total. It complements the FY16 EOSDIS-wide metrics in the EOSDIS FY2016 Annual Metrics Report (filename:  FY16AnnualReport.xlsx)
The DAACs are profiled in six charts:
1. Summary for FY 2016
     a. A summary of the FY2016 key metrics per DAAC compared to the EOSDIS Total
2. Distribution and User Trends (Oct 2015 - Sep 2016)
     a. A dashboard charts displaying distribution trends and user behavior for each DAAC over the FY.
3. (DAAC) Multi-Year Total Archive Volume Trend
     a. A plot of the total archive at the DAAC for the last 9 years.
4. (DAAC)  Multi-Year Product Distribution Trend
    a. A plot of the DAAC product distribution for the last 10 years.
5. (DAAC)  Multi-Year Trend for Web Accesses
    a. A plot of the web accesses (visits, views, and visitors) over the last 10 years.
6. (DAAC)  Yearly Percentage of Web Users  Downloading Data
    a. A plot of the percentage of web users that download data from the DAAC over the last 9 years.</t>
    </r>
    <r>
      <rPr>
        <sz val="10"/>
        <color rgb="FFFF0000"/>
        <rFont val="Arial"/>
        <family val="2"/>
      </rPr>
      <t xml:space="preserve">
</t>
    </r>
  </si>
  <si>
    <t>LANCE</t>
  </si>
  <si>
    <t>2015-09</t>
  </si>
  <si>
    <t>2014-10</t>
  </si>
  <si>
    <t>2014-11</t>
  </si>
  <si>
    <t>2014-12</t>
  </si>
  <si>
    <t xml:space="preserve"> </t>
  </si>
  <si>
    <t>2015-01</t>
  </si>
  <si>
    <t>2015-02</t>
  </si>
  <si>
    <t>2015-03</t>
  </si>
  <si>
    <t>2015-04</t>
  </si>
  <si>
    <t>2015-05</t>
  </si>
  <si>
    <t>2015-06</t>
  </si>
  <si>
    <t>2015-07</t>
  </si>
  <si>
    <t>2015-08</t>
  </si>
  <si>
    <t>Archive Volume (TB)</t>
  </si>
  <si>
    <t>one week</t>
  </si>
  <si>
    <t>yearly Total</t>
  </si>
  <si>
    <t>This worksheet contains tables of metrics data for LANCE for fiscal years FY10 to the present. Data includes key metrics and distribution data (files, volume, number of users).</t>
  </si>
  <si>
    <t>Total Archive Vol (PB)</t>
  </si>
  <si>
    <t>Unique Data Sets</t>
  </si>
  <si>
    <t>0.32 M</t>
  </si>
  <si>
    <t xml:space="preserve">Web Site Visits </t>
  </si>
  <si>
    <t>Average Archive Growth</t>
  </si>
  <si>
    <t>12.1 TB/day</t>
  </si>
  <si>
    <t>End User Average Distribution Volume</t>
  </si>
  <si>
    <t xml:space="preserve">Web Site Visits </t>
    <phoneticPr fontId="0" type="noConversion"/>
  </si>
  <si>
    <t>1,513 M</t>
  </si>
  <si>
    <t>Unique Data Sets</t>
    <phoneticPr fontId="0" type="noConversion"/>
  </si>
  <si>
    <t>Distinct Users of EOSDIS Data and Services*1</t>
  </si>
  <si>
    <t xml:space="preserve">                LANCE Registered Users</t>
  </si>
  <si>
    <t xml:space="preserve">               LANCE Un-registered Users</t>
  </si>
  <si>
    <t>Average Archive Growth</t>
    <phoneticPr fontId="0" type="noConversion"/>
  </si>
  <si>
    <t>Data User (Registered)</t>
  </si>
  <si>
    <t>Total Archive Volume*2</t>
  </si>
  <si>
    <t>*1 Un-registered (Rapid Response and FIRMS users) excluded</t>
  </si>
  <si>
    <t>*2 Represents Production Volume for LANCE</t>
  </si>
  <si>
    <t>3.21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</si>
</sst>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[$-409]mmm\-yy;@"/>
    <numFmt numFmtId="167" formatCode="0.0"/>
    <numFmt numFmtId="168" formatCode="0.0%"/>
    <numFmt numFmtId="169" formatCode="_(* #,##0.0_);_(* \(#,##0.0\);_(* &quot;-&quot;??_);_(@_)"/>
    <numFmt numFmtId="170" formatCode="#,##0.0_);\(#,##0.0\)"/>
    <numFmt numFmtId="171" formatCode="#,##0.0"/>
    <numFmt numFmtId="172" formatCode="#,##0.000"/>
    <numFmt numFmtId="173" formatCode="_(* #,##0.0000_);_(* \(#,##0.0000\);_(* &quot;-&quot;??_);_(@_)"/>
  </numFmts>
  <fonts count="26" x14ac:knownFonts="1">
    <font>
      <sz val="10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24"/>
      <name val="Arial"/>
      <family val="2"/>
    </font>
    <font>
      <b/>
      <sz val="10"/>
      <name val="Arial"/>
      <family val="2"/>
    </font>
    <font>
      <strike/>
      <sz val="10"/>
      <name val="Arial"/>
      <family val="2"/>
    </font>
    <font>
      <sz val="10"/>
      <color theme="1"/>
      <name val="Times New Roman"/>
      <family val="2"/>
    </font>
    <font>
      <sz val="10"/>
      <name val="Times New Roman"/>
      <family val="1"/>
    </font>
    <font>
      <sz val="11"/>
      <color theme="1"/>
      <name val="Times New Roman"/>
      <family val="2"/>
    </font>
    <font>
      <sz val="11"/>
      <color rgb="FF9C6500"/>
      <name val="Times New Roman"/>
      <family val="2"/>
    </font>
    <font>
      <b/>
      <sz val="2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b/>
      <sz val="12"/>
      <color theme="3" tint="-0.499984740745262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  <font>
      <sz val="36"/>
      <name val="Arial"/>
      <family val="2"/>
    </font>
    <font>
      <sz val="20"/>
      <name val="Arial"/>
      <family val="2"/>
    </font>
    <font>
      <sz val="10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EB9C"/>
      </patternFill>
    </fill>
    <fill>
      <patternFill patternType="solid">
        <fgColor rgb="FFCFF5FD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0"/>
        <bgColor indexed="64"/>
      </patternFill>
    </fill>
  </fills>
  <borders count="5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ck">
        <color indexed="8"/>
      </left>
      <right style="medium">
        <color indexed="8"/>
      </right>
      <top/>
      <bottom style="medium">
        <color indexed="8"/>
      </bottom>
      <diagonal/>
    </border>
    <border>
      <left style="thick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auto="1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theme="3" tint="0.39994506668294322"/>
      </right>
      <top style="medium">
        <color auto="1"/>
      </top>
      <bottom/>
      <diagonal/>
    </border>
    <border>
      <left style="thin">
        <color theme="3" tint="0.39994506668294322"/>
      </left>
      <right style="thin">
        <color theme="3" tint="0.39994506668294322"/>
      </right>
      <top style="medium">
        <color auto="1"/>
      </top>
      <bottom/>
      <diagonal/>
    </border>
    <border>
      <left style="thin">
        <color theme="3" tint="0.39994506668294322"/>
      </left>
      <right/>
      <top style="medium">
        <color auto="1"/>
      </top>
      <bottom/>
      <diagonal/>
    </border>
    <border>
      <left/>
      <right style="thin">
        <color theme="3" tint="0.39994506668294322"/>
      </right>
      <top style="medium">
        <color auto="1"/>
      </top>
      <bottom/>
      <diagonal/>
    </border>
    <border>
      <left style="thin">
        <color theme="3" tint="0.39991454817346722"/>
      </left>
      <right style="medium">
        <color auto="1"/>
      </right>
      <top style="medium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 style="thin">
        <color theme="3" tint="0.39994506668294322"/>
      </right>
      <top/>
      <bottom style="thin">
        <color auto="1"/>
      </bottom>
      <diagonal/>
    </border>
    <border>
      <left style="thin">
        <color theme="3" tint="0.39994506668294322"/>
      </left>
      <right style="thin">
        <color theme="3" tint="0.39994506668294322"/>
      </right>
      <top/>
      <bottom style="thin">
        <color auto="1"/>
      </bottom>
      <diagonal/>
    </border>
    <border>
      <left style="thin">
        <color theme="3" tint="0.39994506668294322"/>
      </left>
      <right/>
      <top/>
      <bottom style="thin">
        <color auto="1"/>
      </bottom>
      <diagonal/>
    </border>
    <border>
      <left/>
      <right style="thin">
        <color theme="3" tint="0.39994506668294322"/>
      </right>
      <top/>
      <bottom style="thin">
        <color auto="1"/>
      </bottom>
      <diagonal/>
    </border>
    <border>
      <left style="thin">
        <color theme="3" tint="0.39991454817346722"/>
      </left>
      <right style="medium">
        <color auto="1"/>
      </right>
      <top/>
      <bottom style="thin">
        <color auto="1"/>
      </bottom>
      <diagonal/>
    </border>
    <border>
      <left style="medium">
        <color indexed="8"/>
      </left>
      <right/>
      <top style="thin">
        <color auto="1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auto="1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 style="medium">
        <color auto="1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indexed="8"/>
      </bottom>
      <diagonal/>
    </border>
    <border>
      <left/>
      <right style="thin">
        <color indexed="8"/>
      </right>
      <top style="thin">
        <color auto="1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auto="1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auto="1"/>
      </right>
      <top style="thin">
        <color indexed="8"/>
      </top>
      <bottom/>
      <diagonal/>
    </border>
    <border>
      <left style="thin">
        <color indexed="8"/>
      </left>
      <right style="medium">
        <color auto="1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thick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/>
      <top style="medium">
        <color indexed="8"/>
      </top>
      <bottom/>
      <diagonal/>
    </border>
  </borders>
  <cellStyleXfs count="20">
    <xf numFmtId="0" fontId="0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9" fillId="0" borderId="0"/>
    <xf numFmtId="9" fontId="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1" fillId="0" borderId="0"/>
    <xf numFmtId="0" fontId="12" fillId="5" borderId="0" applyNumberFormat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255">
    <xf numFmtId="0" fontId="0" fillId="0" borderId="0" xfId="0"/>
    <xf numFmtId="0" fontId="0" fillId="0" borderId="4" xfId="0" applyBorder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0" fontId="8" fillId="0" borderId="0" xfId="0" applyFont="1"/>
    <xf numFmtId="0" fontId="5" fillId="0" borderId="4" xfId="0" applyFont="1" applyBorder="1" applyAlignment="1">
      <alignment horizontal="center" vertical="center"/>
    </xf>
    <xf numFmtId="3" fontId="0" fillId="0" borderId="0" xfId="0" applyNumberFormat="1"/>
    <xf numFmtId="167" fontId="5" fillId="0" borderId="4" xfId="0" applyNumberFormat="1" applyFont="1" applyBorder="1" applyAlignment="1">
      <alignment horizontal="center" vertical="center"/>
    </xf>
    <xf numFmtId="3" fontId="5" fillId="0" borderId="4" xfId="0" applyNumberFormat="1" applyFont="1" applyBorder="1" applyAlignment="1">
      <alignment vertical="center"/>
    </xf>
    <xf numFmtId="0" fontId="5" fillId="0" borderId="4" xfId="0" applyFont="1" applyBorder="1" applyAlignment="1">
      <alignment horizontal="left" vertical="center"/>
    </xf>
    <xf numFmtId="0" fontId="6" fillId="0" borderId="0" xfId="0" applyFont="1" applyBorder="1" applyAlignment="1">
      <alignment horizontal="center" vertical="top" wrapText="1"/>
    </xf>
    <xf numFmtId="165" fontId="0" fillId="0" borderId="0" xfId="8" applyNumberFormat="1" applyFont="1"/>
    <xf numFmtId="43" fontId="0" fillId="0" borderId="0" xfId="8" applyFont="1" applyFill="1" applyBorder="1"/>
    <xf numFmtId="43" fontId="0" fillId="0" borderId="0" xfId="0" applyNumberFormat="1"/>
    <xf numFmtId="0" fontId="7" fillId="0" borderId="4" xfId="0" applyFont="1" applyBorder="1" applyAlignment="1">
      <alignment vertical="top" wrapText="1"/>
    </xf>
    <xf numFmtId="43" fontId="8" fillId="0" borderId="0" xfId="8" applyFont="1"/>
    <xf numFmtId="0" fontId="3" fillId="0" borderId="0" xfId="13"/>
    <xf numFmtId="166" fontId="3" fillId="0" borderId="0" xfId="13" applyNumberFormat="1"/>
    <xf numFmtId="43" fontId="3" fillId="0" borderId="0" xfId="14" applyFont="1"/>
    <xf numFmtId="0" fontId="4" fillId="0" borderId="0" xfId="13" applyFont="1" applyAlignment="1">
      <alignment horizontal="center" vertical="center" wrapText="1"/>
    </xf>
    <xf numFmtId="0" fontId="3" fillId="0" borderId="0" xfId="13" applyAlignment="1">
      <alignment vertical="center" wrapText="1"/>
    </xf>
    <xf numFmtId="0" fontId="3" fillId="0" borderId="0" xfId="13" applyNumberFormat="1"/>
    <xf numFmtId="0" fontId="3" fillId="0" borderId="0" xfId="13" applyAlignment="1">
      <alignment horizontal="left"/>
    </xf>
    <xf numFmtId="43" fontId="5" fillId="0" borderId="4" xfId="8" applyFont="1" applyBorder="1" applyAlignment="1">
      <alignment vertical="center"/>
    </xf>
    <xf numFmtId="43" fontId="3" fillId="0" borderId="0" xfId="8" applyFont="1"/>
    <xf numFmtId="169" fontId="3" fillId="0" borderId="0" xfId="8" applyNumberFormat="1" applyFont="1"/>
    <xf numFmtId="0" fontId="4" fillId="0" borderId="0" xfId="13" applyFont="1"/>
    <xf numFmtId="165" fontId="5" fillId="0" borderId="4" xfId="8" applyNumberFormat="1" applyFont="1" applyBorder="1" applyAlignment="1">
      <alignment vertical="center"/>
    </xf>
    <xf numFmtId="165" fontId="3" fillId="0" borderId="0" xfId="8" applyNumberFormat="1" applyFont="1"/>
    <xf numFmtId="165" fontId="3" fillId="0" borderId="0" xfId="13" applyNumberFormat="1"/>
    <xf numFmtId="165" fontId="3" fillId="0" borderId="0" xfId="14" applyNumberFormat="1" applyFont="1"/>
    <xf numFmtId="49" fontId="3" fillId="0" borderId="0" xfId="13" applyNumberFormat="1"/>
    <xf numFmtId="49" fontId="5" fillId="0" borderId="4" xfId="0" applyNumberFormat="1" applyFont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 wrapText="1"/>
    </xf>
    <xf numFmtId="49" fontId="0" fillId="0" borderId="4" xfId="0" applyNumberFormat="1" applyBorder="1" applyAlignment="1">
      <alignment horizontal="center"/>
    </xf>
    <xf numFmtId="49" fontId="0" fillId="0" borderId="5" xfId="0" applyNumberFormat="1" applyBorder="1" applyAlignment="1">
      <alignment horizontal="center"/>
    </xf>
    <xf numFmtId="0" fontId="0" fillId="0" borderId="4" xfId="0" applyBorder="1"/>
    <xf numFmtId="0" fontId="7" fillId="0" borderId="4" xfId="0" applyFont="1" applyBorder="1" applyAlignment="1">
      <alignment vertical="top"/>
    </xf>
    <xf numFmtId="0" fontId="7" fillId="0" borderId="4" xfId="0" applyFont="1" applyFill="1" applyBorder="1" applyAlignment="1">
      <alignment vertical="top" wrapText="1"/>
    </xf>
    <xf numFmtId="165" fontId="0" fillId="0" borderId="4" xfId="8" applyNumberFormat="1" applyFont="1" applyBorder="1"/>
    <xf numFmtId="43" fontId="0" fillId="0" borderId="4" xfId="8" applyFont="1" applyBorder="1"/>
    <xf numFmtId="43" fontId="0" fillId="0" borderId="4" xfId="0" applyNumberFormat="1" applyBorder="1"/>
    <xf numFmtId="4" fontId="5" fillId="0" borderId="4" xfId="0" applyNumberFormat="1" applyFont="1" applyBorder="1"/>
    <xf numFmtId="0" fontId="2" fillId="0" borderId="4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2" fillId="0" borderId="4" xfId="0" applyFont="1" applyFill="1" applyBorder="1" applyAlignment="1">
      <alignment horizontal="center" wrapText="1"/>
    </xf>
    <xf numFmtId="0" fontId="2" fillId="0" borderId="0" xfId="13" applyFont="1"/>
    <xf numFmtId="0" fontId="7" fillId="0" borderId="4" xfId="0" applyFont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5" fillId="0" borderId="4" xfId="1" applyFont="1" applyBorder="1"/>
    <xf numFmtId="49" fontId="2" fillId="0" borderId="4" xfId="13" applyNumberFormat="1" applyFont="1" applyBorder="1"/>
    <xf numFmtId="0" fontId="2" fillId="0" borderId="4" xfId="13" applyFont="1" applyBorder="1"/>
    <xf numFmtId="43" fontId="3" fillId="0" borderId="4" xfId="8" applyFont="1" applyBorder="1"/>
    <xf numFmtId="168" fontId="5" fillId="0" borderId="4" xfId="1" applyNumberFormat="1" applyFill="1" applyBorder="1" applyAlignment="1">
      <alignment horizontal="center" vertical="center" wrapText="1"/>
    </xf>
    <xf numFmtId="168" fontId="0" fillId="0" borderId="4" xfId="15" applyNumberFormat="1" applyFont="1" applyBorder="1" applyAlignment="1">
      <alignment horizontal="center" vertical="center"/>
    </xf>
    <xf numFmtId="0" fontId="14" fillId="3" borderId="2" xfId="0" applyFont="1" applyFill="1" applyBorder="1" applyAlignment="1">
      <alignment horizontal="left" vertical="center" wrapText="1" indent="1"/>
    </xf>
    <xf numFmtId="0" fontId="14" fillId="3" borderId="3" xfId="0" applyFont="1" applyFill="1" applyBorder="1" applyAlignment="1">
      <alignment horizontal="left" vertical="center" wrapText="1" indent="1"/>
    </xf>
    <xf numFmtId="0" fontId="14" fillId="3" borderId="11" xfId="0" applyFont="1" applyFill="1" applyBorder="1" applyAlignment="1">
      <alignment horizontal="left" vertical="center" wrapText="1" indent="1"/>
    </xf>
    <xf numFmtId="166" fontId="0" fillId="0" borderId="4" xfId="0" applyNumberFormat="1" applyBorder="1"/>
    <xf numFmtId="0" fontId="7" fillId="0" borderId="0" xfId="0" applyFont="1"/>
    <xf numFmtId="0" fontId="1" fillId="0" borderId="0" xfId="13" applyFont="1"/>
    <xf numFmtId="0" fontId="3" fillId="0" borderId="12" xfId="13" applyBorder="1"/>
    <xf numFmtId="165" fontId="5" fillId="0" borderId="4" xfId="8" applyNumberFormat="1" applyFont="1" applyBorder="1" applyAlignment="1">
      <alignment horizontal="center" vertical="center"/>
    </xf>
    <xf numFmtId="165" fontId="5" fillId="0" borderId="4" xfId="8" applyNumberFormat="1" applyFont="1" applyBorder="1" applyAlignment="1">
      <alignment horizontal="center" vertical="center" wrapText="1"/>
    </xf>
    <xf numFmtId="165" fontId="1" fillId="0" borderId="0" xfId="8" applyNumberFormat="1" applyFont="1"/>
    <xf numFmtId="0" fontId="7" fillId="0" borderId="0" xfId="0" applyFont="1" applyFill="1" applyBorder="1" applyAlignment="1">
      <alignment horizontal="center" vertical="center" wrapText="1"/>
    </xf>
    <xf numFmtId="43" fontId="0" fillId="0" borderId="0" xfId="8" applyFont="1"/>
    <xf numFmtId="43" fontId="18" fillId="0" borderId="4" xfId="8" applyFont="1" applyBorder="1"/>
    <xf numFmtId="169" fontId="0" fillId="0" borderId="0" xfId="8" applyNumberFormat="1" applyFont="1"/>
    <xf numFmtId="165" fontId="18" fillId="0" borderId="4" xfId="8" applyNumberFormat="1" applyFont="1" applyBorder="1"/>
    <xf numFmtId="4" fontId="0" fillId="0" borderId="4" xfId="0" applyNumberFormat="1" applyBorder="1" applyAlignment="1">
      <alignment vertical="center"/>
    </xf>
    <xf numFmtId="49" fontId="0" fillId="0" borderId="0" xfId="0" applyNumberFormat="1" applyFill="1" applyBorder="1" applyAlignment="1">
      <alignment horizontal="center"/>
    </xf>
    <xf numFmtId="49" fontId="14" fillId="2" borderId="7" xfId="0" applyNumberFormat="1" applyFont="1" applyFill="1" applyBorder="1" applyAlignment="1">
      <alignment horizontal="center" vertical="center" wrapText="1"/>
    </xf>
    <xf numFmtId="14" fontId="17" fillId="6" borderId="21" xfId="11" applyNumberFormat="1" applyFont="1" applyFill="1" applyBorder="1" applyAlignment="1">
      <alignment horizontal="center" vertical="center"/>
    </xf>
    <xf numFmtId="0" fontId="17" fillId="6" borderId="22" xfId="11" applyFont="1" applyFill="1" applyBorder="1" applyAlignment="1">
      <alignment horizontal="center" vertical="center"/>
    </xf>
    <xf numFmtId="166" fontId="17" fillId="6" borderId="23" xfId="11" applyNumberFormat="1" applyFont="1" applyFill="1" applyBorder="1" applyAlignment="1">
      <alignment horizontal="center" vertical="center"/>
    </xf>
    <xf numFmtId="0" fontId="17" fillId="6" borderId="24" xfId="11" applyFont="1" applyFill="1" applyBorder="1" applyAlignment="1">
      <alignment horizontal="center" vertical="center"/>
    </xf>
    <xf numFmtId="166" fontId="17" fillId="6" borderId="27" xfId="11" applyNumberFormat="1" applyFont="1" applyFill="1" applyBorder="1" applyAlignment="1">
      <alignment horizontal="center" vertical="center"/>
    </xf>
    <xf numFmtId="14" fontId="17" fillId="6" borderId="28" xfId="11" applyNumberFormat="1" applyFont="1" applyFill="1" applyBorder="1" applyAlignment="1">
      <alignment horizontal="center" vertical="center"/>
    </xf>
    <xf numFmtId="166" fontId="17" fillId="6" borderId="29" xfId="11" applyNumberFormat="1" applyFont="1" applyFill="1" applyBorder="1" applyAlignment="1">
      <alignment horizontal="center" vertical="center"/>
    </xf>
    <xf numFmtId="14" fontId="17" fillId="6" borderId="30" xfId="11" applyNumberFormat="1" applyFont="1" applyFill="1" applyBorder="1" applyAlignment="1">
      <alignment horizontal="center" vertical="center"/>
    </xf>
    <xf numFmtId="49" fontId="0" fillId="0" borderId="4" xfId="0" applyNumberFormat="1" applyFont="1" applyBorder="1" applyAlignment="1">
      <alignment horizontal="center" vertical="center"/>
    </xf>
    <xf numFmtId="0" fontId="0" fillId="0" borderId="4" xfId="1" applyFont="1" applyBorder="1"/>
    <xf numFmtId="165" fontId="0" fillId="0" borderId="4" xfId="8" applyNumberFormat="1" applyFont="1" applyBorder="1" applyAlignment="1">
      <alignment horizontal="center" vertical="center"/>
    </xf>
    <xf numFmtId="164" fontId="0" fillId="0" borderId="0" xfId="0" applyNumberFormat="1"/>
    <xf numFmtId="0" fontId="21" fillId="3" borderId="47" xfId="0" applyFont="1" applyFill="1" applyBorder="1" applyAlignment="1">
      <alignment horizontal="left" wrapText="1"/>
    </xf>
    <xf numFmtId="3" fontId="21" fillId="4" borderId="47" xfId="0" applyNumberFormat="1" applyFont="1" applyFill="1" applyBorder="1" applyAlignment="1">
      <alignment horizontal="center" vertical="center" wrapText="1"/>
    </xf>
    <xf numFmtId="0" fontId="21" fillId="3" borderId="11" xfId="0" applyFont="1" applyFill="1" applyBorder="1" applyAlignment="1">
      <alignment horizontal="left" wrapText="1"/>
    </xf>
    <xf numFmtId="0" fontId="21" fillId="4" borderId="11" xfId="0" applyFont="1" applyFill="1" applyBorder="1" applyAlignment="1">
      <alignment horizontal="center" vertical="center" wrapText="1"/>
    </xf>
    <xf numFmtId="3" fontId="21" fillId="4" borderId="11" xfId="0" applyNumberFormat="1" applyFont="1" applyFill="1" applyBorder="1" applyAlignment="1">
      <alignment horizontal="center" vertical="center" wrapText="1"/>
    </xf>
    <xf numFmtId="0" fontId="22" fillId="4" borderId="11" xfId="0" applyFont="1" applyFill="1" applyBorder="1" applyAlignment="1">
      <alignment horizontal="center" vertical="center" wrapText="1"/>
    </xf>
    <xf numFmtId="43" fontId="21" fillId="4" borderId="11" xfId="8" applyFont="1" applyFill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0" xfId="0" applyAlignment="1"/>
    <xf numFmtId="17" fontId="0" fillId="0" borderId="0" xfId="0" applyNumberFormat="1"/>
    <xf numFmtId="0" fontId="0" fillId="0" borderId="0" xfId="0" applyFont="1" applyAlignment="1">
      <alignment horizontal="center" vertical="center" wrapText="1"/>
    </xf>
    <xf numFmtId="0" fontId="0" fillId="0" borderId="0" xfId="0" applyAlignment="1">
      <alignment vertical="top"/>
    </xf>
    <xf numFmtId="0" fontId="24" fillId="0" borderId="0" xfId="0" applyFont="1" applyAlignment="1">
      <alignment horizontal="center" vertical="top" wrapText="1"/>
    </xf>
    <xf numFmtId="0" fontId="25" fillId="0" borderId="0" xfId="0" applyFont="1" applyAlignment="1">
      <alignment vertical="center" wrapText="1"/>
    </xf>
    <xf numFmtId="3" fontId="14" fillId="4" borderId="9" xfId="0" applyNumberFormat="1" applyFont="1" applyFill="1" applyBorder="1" applyAlignment="1">
      <alignment horizontal="right" vertical="center" wrapText="1" indent="1"/>
    </xf>
    <xf numFmtId="172" fontId="14" fillId="4" borderId="11" xfId="0" applyNumberFormat="1" applyFont="1" applyFill="1" applyBorder="1" applyAlignment="1">
      <alignment horizontal="right" vertical="center" wrapText="1" indent="1"/>
    </xf>
    <xf numFmtId="3" fontId="14" fillId="4" borderId="10" xfId="0" applyNumberFormat="1" applyFont="1" applyFill="1" applyBorder="1" applyAlignment="1">
      <alignment horizontal="right" vertical="center" wrapText="1" indent="1"/>
    </xf>
    <xf numFmtId="3" fontId="14" fillId="4" borderId="11" xfId="0" applyNumberFormat="1" applyFont="1" applyFill="1" applyBorder="1" applyAlignment="1">
      <alignment horizontal="right" vertical="center" wrapText="1" indent="1"/>
    </xf>
    <xf numFmtId="171" fontId="14" fillId="4" borderId="11" xfId="0" applyNumberFormat="1" applyFont="1" applyFill="1" applyBorder="1" applyAlignment="1">
      <alignment horizontal="right" vertical="center" wrapText="1" indent="1"/>
    </xf>
    <xf numFmtId="0" fontId="14" fillId="4" borderId="11" xfId="0" applyNumberFormat="1" applyFont="1" applyFill="1" applyBorder="1" applyAlignment="1">
      <alignment horizontal="right" vertical="center" wrapText="1" indent="1"/>
    </xf>
    <xf numFmtId="171" fontId="14" fillId="4" borderId="9" xfId="0" applyNumberFormat="1" applyFont="1" applyFill="1" applyBorder="1" applyAlignment="1">
      <alignment horizontal="right" vertical="center" wrapText="1" indent="1"/>
    </xf>
    <xf numFmtId="172" fontId="14" fillId="4" borderId="11" xfId="0" applyNumberFormat="1" applyFont="1" applyFill="1" applyBorder="1" applyAlignment="1">
      <alignment horizontal="right" vertical="center" wrapText="1"/>
    </xf>
    <xf numFmtId="0" fontId="1" fillId="0" borderId="48" xfId="13" applyFont="1" applyBorder="1"/>
    <xf numFmtId="0" fontId="3" fillId="0" borderId="48" xfId="13" applyBorder="1"/>
    <xf numFmtId="0" fontId="5" fillId="0" borderId="48" xfId="0" applyFont="1" applyBorder="1" applyAlignment="1">
      <alignment horizontal="center" vertical="center"/>
    </xf>
    <xf numFmtId="0" fontId="1" fillId="0" borderId="4" xfId="0" applyFont="1" applyFill="1" applyBorder="1" applyAlignment="1">
      <alignment horizontal="center" wrapText="1"/>
    </xf>
    <xf numFmtId="0" fontId="0" fillId="0" borderId="4" xfId="0" applyFill="1" applyBorder="1"/>
    <xf numFmtId="0" fontId="7" fillId="0" borderId="0" xfId="0" applyFont="1" applyBorder="1" applyAlignment="1">
      <alignment horizontal="center"/>
    </xf>
    <xf numFmtId="0" fontId="0" fillId="0" borderId="6" xfId="0" applyBorder="1" applyAlignment="1"/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4" fillId="0" borderId="0" xfId="18" applyFont="1"/>
    <xf numFmtId="0" fontId="1" fillId="0" borderId="0" xfId="18"/>
    <xf numFmtId="0" fontId="0" fillId="0" borderId="48" xfId="0" applyBorder="1" applyAlignment="1">
      <alignment vertical="center" wrapText="1"/>
    </xf>
    <xf numFmtId="167" fontId="0" fillId="0" borderId="48" xfId="0" applyNumberFormat="1" applyFont="1" applyBorder="1" applyAlignment="1">
      <alignment horizontal="center" vertical="center"/>
    </xf>
    <xf numFmtId="0" fontId="0" fillId="0" borderId="48" xfId="0" applyBorder="1" applyAlignment="1">
      <alignment horizontal="center" vertical="center" wrapText="1"/>
    </xf>
    <xf numFmtId="43" fontId="5" fillId="0" borderId="48" xfId="8" applyFont="1" applyBorder="1" applyAlignment="1">
      <alignment vertical="center"/>
    </xf>
    <xf numFmtId="3" fontId="5" fillId="0" borderId="48" xfId="0" applyNumberFormat="1" applyFont="1" applyBorder="1" applyAlignment="1">
      <alignment vertical="center"/>
    </xf>
    <xf numFmtId="0" fontId="5" fillId="0" borderId="48" xfId="0" applyFont="1" applyBorder="1" applyAlignment="1">
      <alignment horizontal="left" vertical="center"/>
    </xf>
    <xf numFmtId="43" fontId="1" fillId="0" borderId="0" xfId="8" applyFont="1"/>
    <xf numFmtId="0" fontId="1" fillId="0" borderId="0" xfId="18" applyFont="1"/>
    <xf numFmtId="0" fontId="4" fillId="0" borderId="6" xfId="18" applyFont="1" applyBorder="1" applyAlignment="1">
      <alignment horizontal="center"/>
    </xf>
    <xf numFmtId="0" fontId="1" fillId="0" borderId="12" xfId="18" applyBorder="1"/>
    <xf numFmtId="0" fontId="1" fillId="0" borderId="0" xfId="18" applyBorder="1"/>
    <xf numFmtId="166" fontId="1" fillId="0" borderId="0" xfId="18" applyNumberFormat="1"/>
    <xf numFmtId="43" fontId="1" fillId="0" borderId="0" xfId="19" applyFont="1"/>
    <xf numFmtId="0" fontId="4" fillId="0" borderId="0" xfId="18" applyFont="1" applyAlignment="1">
      <alignment horizontal="center" vertical="center" wrapText="1"/>
    </xf>
    <xf numFmtId="169" fontId="1" fillId="0" borderId="0" xfId="8" applyNumberFormat="1" applyFont="1"/>
    <xf numFmtId="0" fontId="1" fillId="0" borderId="0" xfId="18" applyNumberFormat="1"/>
    <xf numFmtId="1" fontId="0" fillId="0" borderId="48" xfId="0" applyNumberFormat="1" applyFont="1" applyBorder="1" applyAlignment="1">
      <alignment horizontal="right" vertical="center"/>
    </xf>
    <xf numFmtId="165" fontId="5" fillId="0" borderId="48" xfId="8" applyNumberFormat="1" applyFont="1" applyBorder="1" applyAlignment="1">
      <alignment horizontal="center" vertical="center"/>
    </xf>
    <xf numFmtId="165" fontId="5" fillId="0" borderId="48" xfId="8" applyNumberFormat="1" applyFont="1" applyBorder="1" applyAlignment="1">
      <alignment vertical="center"/>
    </xf>
    <xf numFmtId="173" fontId="1" fillId="0" borderId="0" xfId="18" applyNumberFormat="1"/>
    <xf numFmtId="165" fontId="1" fillId="0" borderId="0" xfId="19" applyNumberFormat="1" applyFont="1"/>
    <xf numFmtId="0" fontId="4" fillId="0" borderId="6" xfId="18" applyFont="1" applyBorder="1" applyAlignment="1">
      <alignment horizontal="center" wrapText="1"/>
    </xf>
    <xf numFmtId="49" fontId="1" fillId="0" borderId="0" xfId="18" applyNumberFormat="1"/>
    <xf numFmtId="0" fontId="0" fillId="0" borderId="0" xfId="0" applyBorder="1" applyAlignment="1"/>
    <xf numFmtId="0" fontId="1" fillId="0" borderId="0" xfId="18" applyFont="1" applyBorder="1"/>
    <xf numFmtId="49" fontId="1" fillId="0" borderId="48" xfId="18" applyNumberFormat="1" applyFont="1" applyBorder="1"/>
    <xf numFmtId="0" fontId="1" fillId="0" borderId="13" xfId="18" applyFont="1" applyBorder="1"/>
    <xf numFmtId="0" fontId="5" fillId="0" borderId="48" xfId="0" applyFont="1" applyBorder="1" applyAlignment="1">
      <alignment horizontal="center"/>
    </xf>
    <xf numFmtId="43" fontId="1" fillId="0" borderId="48" xfId="8" applyFont="1" applyBorder="1"/>
    <xf numFmtId="0" fontId="1" fillId="0" borderId="48" xfId="0" applyFont="1" applyFill="1" applyBorder="1" applyAlignment="1">
      <alignment horizontal="center" wrapText="1"/>
    </xf>
    <xf numFmtId="0" fontId="1" fillId="0" borderId="48" xfId="18" applyFont="1" applyBorder="1" applyAlignment="1">
      <alignment horizontal="center"/>
    </xf>
    <xf numFmtId="0" fontId="1" fillId="0" borderId="48" xfId="18" applyBorder="1"/>
    <xf numFmtId="0" fontId="0" fillId="0" borderId="0" xfId="0" applyBorder="1"/>
    <xf numFmtId="0" fontId="7" fillId="0" borderId="48" xfId="0" applyFont="1" applyBorder="1" applyAlignment="1">
      <alignment horizontal="center" vertical="center" wrapText="1"/>
    </xf>
    <xf numFmtId="0" fontId="0" fillId="0" borderId="48" xfId="0" applyBorder="1"/>
    <xf numFmtId="0" fontId="0" fillId="0" borderId="12" xfId="0" applyBorder="1"/>
    <xf numFmtId="0" fontId="7" fillId="0" borderId="48" xfId="0" applyFont="1" applyFill="1" applyBorder="1" applyAlignment="1">
      <alignment horizontal="center" vertical="center" wrapText="1"/>
    </xf>
    <xf numFmtId="168" fontId="5" fillId="0" borderId="48" xfId="1" applyNumberFormat="1" applyFill="1" applyBorder="1" applyAlignment="1">
      <alignment horizontal="center" vertical="center" wrapText="1"/>
    </xf>
    <xf numFmtId="168" fontId="0" fillId="0" borderId="48" xfId="15" applyNumberFormat="1" applyFont="1" applyBorder="1" applyAlignment="1">
      <alignment horizontal="center" vertical="center"/>
    </xf>
    <xf numFmtId="166" fontId="0" fillId="0" borderId="0" xfId="0" applyNumberFormat="1" applyBorder="1"/>
    <xf numFmtId="165" fontId="7" fillId="0" borderId="0" xfId="8" applyNumberFormat="1" applyFont="1" applyBorder="1" applyAlignment="1">
      <alignment horizontal="center"/>
    </xf>
    <xf numFmtId="165" fontId="4" fillId="0" borderId="6" xfId="8" applyNumberFormat="1" applyFont="1" applyBorder="1" applyAlignment="1">
      <alignment horizontal="center"/>
    </xf>
    <xf numFmtId="165" fontId="1" fillId="0" borderId="12" xfId="8" applyNumberFormat="1" applyFont="1" applyBorder="1"/>
    <xf numFmtId="165" fontId="0" fillId="0" borderId="48" xfId="8" applyNumberFormat="1" applyFont="1" applyBorder="1" applyAlignment="1">
      <alignment horizontal="center" vertical="center"/>
    </xf>
    <xf numFmtId="165" fontId="0" fillId="0" borderId="48" xfId="8" applyNumberFormat="1" applyFont="1" applyBorder="1"/>
    <xf numFmtId="0" fontId="0" fillId="0" borderId="49" xfId="0" applyFill="1" applyBorder="1"/>
    <xf numFmtId="165" fontId="0" fillId="0" borderId="0" xfId="8" applyNumberFormat="1" applyFont="1" applyBorder="1"/>
    <xf numFmtId="0" fontId="7" fillId="0" borderId="48" xfId="0" applyFont="1" applyBorder="1" applyAlignment="1">
      <alignment vertical="top"/>
    </xf>
    <xf numFmtId="0" fontId="7" fillId="0" borderId="48" xfId="0" applyFont="1" applyBorder="1" applyAlignment="1">
      <alignment vertical="top" wrapText="1"/>
    </xf>
    <xf numFmtId="0" fontId="0" fillId="0" borderId="48" xfId="0" applyFont="1" applyBorder="1" applyAlignment="1">
      <alignment horizontal="center" vertical="center" wrapText="1"/>
    </xf>
    <xf numFmtId="0" fontId="7" fillId="0" borderId="48" xfId="0" applyFont="1" applyFill="1" applyBorder="1" applyAlignment="1">
      <alignment vertical="top" wrapText="1"/>
    </xf>
    <xf numFmtId="0" fontId="21" fillId="3" borderId="50" xfId="0" applyFont="1" applyFill="1" applyBorder="1" applyAlignment="1">
      <alignment horizontal="left" wrapText="1"/>
    </xf>
    <xf numFmtId="3" fontId="21" fillId="4" borderId="50" xfId="0" applyNumberFormat="1" applyFont="1" applyFill="1" applyBorder="1" applyAlignment="1">
      <alignment horizontal="center" vertical="center" wrapText="1"/>
    </xf>
    <xf numFmtId="49" fontId="0" fillId="0" borderId="48" xfId="0" applyNumberFormat="1" applyFont="1" applyBorder="1" applyAlignment="1">
      <alignment horizontal="center" vertical="center"/>
    </xf>
    <xf numFmtId="43" fontId="0" fillId="0" borderId="48" xfId="8" applyFont="1" applyBorder="1"/>
    <xf numFmtId="43" fontId="0" fillId="0" borderId="48" xfId="0" applyNumberFormat="1" applyBorder="1"/>
    <xf numFmtId="4" fontId="5" fillId="0" borderId="48" xfId="0" applyNumberFormat="1" applyFont="1" applyBorder="1"/>
    <xf numFmtId="49" fontId="7" fillId="0" borderId="0" xfId="0" applyNumberFormat="1" applyFont="1" applyFill="1" applyBorder="1" applyAlignment="1">
      <alignment horizontal="left"/>
    </xf>
    <xf numFmtId="49" fontId="0" fillId="0" borderId="13" xfId="0" applyNumberFormat="1" applyFont="1" applyBorder="1" applyAlignment="1">
      <alignment horizontal="center" vertical="center"/>
    </xf>
    <xf numFmtId="49" fontId="0" fillId="0" borderId="0" xfId="0" applyNumberFormat="1" applyBorder="1" applyAlignment="1">
      <alignment horizontal="center"/>
    </xf>
    <xf numFmtId="0" fontId="14" fillId="3" borderId="2" xfId="0" applyFont="1" applyFill="1" applyBorder="1" applyAlignment="1">
      <alignment horizontal="left" vertical="top" wrapText="1" indent="1"/>
    </xf>
    <xf numFmtId="3" fontId="14" fillId="4" borderId="47" xfId="0" applyNumberFormat="1" applyFont="1" applyFill="1" applyBorder="1" applyAlignment="1">
      <alignment horizontal="right" vertical="center" wrapText="1" indent="1"/>
    </xf>
    <xf numFmtId="0" fontId="14" fillId="3" borderId="51" xfId="0" applyFont="1" applyFill="1" applyBorder="1" applyAlignment="1">
      <alignment horizontal="left" vertical="top" wrapText="1" indent="1"/>
    </xf>
    <xf numFmtId="3" fontId="14" fillId="4" borderId="52" xfId="0" applyNumberFormat="1" applyFont="1" applyFill="1" applyBorder="1" applyAlignment="1">
      <alignment horizontal="right" vertical="center" wrapText="1" indent="1"/>
    </xf>
    <xf numFmtId="0" fontId="14" fillId="4" borderId="52" xfId="0" applyNumberFormat="1" applyFont="1" applyFill="1" applyBorder="1" applyAlignment="1">
      <alignment horizontal="right" vertical="center" wrapText="1" indent="1"/>
    </xf>
    <xf numFmtId="171" fontId="14" fillId="4" borderId="52" xfId="0" applyNumberFormat="1" applyFont="1" applyFill="1" applyBorder="1" applyAlignment="1">
      <alignment horizontal="right" vertical="center" wrapText="1" indent="1"/>
    </xf>
    <xf numFmtId="0" fontId="14" fillId="3" borderId="51" xfId="0" applyFont="1" applyFill="1" applyBorder="1" applyAlignment="1">
      <alignment horizontal="left" vertical="center" wrapText="1" indent="1"/>
    </xf>
    <xf numFmtId="0" fontId="14" fillId="3" borderId="52" xfId="0" applyFont="1" applyFill="1" applyBorder="1" applyAlignment="1">
      <alignment horizontal="left" vertical="center" wrapText="1" indent="1"/>
    </xf>
    <xf numFmtId="0" fontId="14" fillId="0" borderId="0" xfId="0" applyFont="1" applyAlignment="1">
      <alignment vertical="top"/>
    </xf>
    <xf numFmtId="0" fontId="14" fillId="8" borderId="0" xfId="0" applyFont="1" applyFill="1" applyBorder="1" applyAlignment="1">
      <alignment horizontal="left" vertical="top" wrapText="1" indent="1"/>
    </xf>
    <xf numFmtId="0" fontId="0" fillId="0" borderId="53" xfId="0" applyBorder="1"/>
    <xf numFmtId="0" fontId="13" fillId="0" borderId="0" xfId="0" applyFont="1" applyBorder="1" applyAlignment="1">
      <alignment horizontal="center" vertical="center" wrapText="1"/>
    </xf>
    <xf numFmtId="3" fontId="5" fillId="7" borderId="36" xfId="13" applyNumberFormat="1" applyFont="1" applyFill="1" applyBorder="1" applyAlignment="1">
      <alignment vertical="center"/>
    </xf>
    <xf numFmtId="3" fontId="5" fillId="7" borderId="41" xfId="13" applyNumberFormat="1" applyFont="1" applyFill="1" applyBorder="1" applyAlignment="1">
      <alignment vertical="center"/>
    </xf>
    <xf numFmtId="0" fontId="14" fillId="3" borderId="32" xfId="0" applyFont="1" applyFill="1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3" fontId="14" fillId="4" borderId="25" xfId="0" applyNumberFormat="1" applyFont="1" applyFill="1" applyBorder="1" applyAlignment="1">
      <alignment horizontal="center" vertical="center" wrapText="1"/>
    </xf>
    <xf numFmtId="0" fontId="0" fillId="0" borderId="42" xfId="0" applyBorder="1" applyAlignment="1">
      <alignment horizontal="center" vertical="center" wrapText="1"/>
    </xf>
    <xf numFmtId="0" fontId="15" fillId="7" borderId="40" xfId="11" applyFont="1" applyFill="1" applyBorder="1" applyAlignment="1">
      <alignment horizontal="center" vertical="center"/>
    </xf>
    <xf numFmtId="0" fontId="15" fillId="7" borderId="43" xfId="11" applyFont="1" applyFill="1" applyBorder="1" applyAlignment="1">
      <alignment horizontal="center" vertical="center"/>
    </xf>
    <xf numFmtId="168" fontId="16" fillId="7" borderId="39" xfId="11" applyNumberFormat="1" applyFont="1" applyFill="1" applyBorder="1" applyAlignment="1" applyProtection="1">
      <alignment horizontal="center" vertical="center"/>
    </xf>
    <xf numFmtId="168" fontId="16" fillId="7" borderId="44" xfId="11" applyNumberFormat="1" applyFont="1" applyFill="1" applyBorder="1" applyAlignment="1" applyProtection="1">
      <alignment horizontal="center" vertical="center"/>
    </xf>
    <xf numFmtId="3" fontId="16" fillId="7" borderId="25" xfId="11" applyNumberFormat="1" applyFont="1" applyFill="1" applyBorder="1" applyAlignment="1" applyProtection="1">
      <alignment horizontal="center" vertical="center"/>
    </xf>
    <xf numFmtId="3" fontId="16" fillId="7" borderId="42" xfId="11" applyNumberFormat="1" applyFont="1" applyFill="1" applyBorder="1" applyAlignment="1" applyProtection="1">
      <alignment horizontal="center" vertical="center"/>
    </xf>
    <xf numFmtId="0" fontId="0" fillId="0" borderId="32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3" fontId="5" fillId="7" borderId="34" xfId="13" applyNumberFormat="1" applyFont="1" applyFill="1" applyBorder="1" applyAlignment="1">
      <alignment vertical="center"/>
    </xf>
    <xf numFmtId="171" fontId="16" fillId="7" borderId="25" xfId="11" applyNumberFormat="1" applyFont="1" applyFill="1" applyBorder="1" applyAlignment="1" applyProtection="1">
      <alignment horizontal="center" vertical="center"/>
    </xf>
    <xf numFmtId="0" fontId="14" fillId="2" borderId="1" xfId="0" applyFont="1" applyFill="1" applyBorder="1" applyAlignment="1">
      <alignment horizontal="center" vertical="center" wrapText="1"/>
    </xf>
    <xf numFmtId="0" fontId="14" fillId="2" borderId="8" xfId="0" applyFont="1" applyFill="1" applyBorder="1" applyAlignment="1">
      <alignment horizontal="center" vertical="center" wrapText="1"/>
    </xf>
    <xf numFmtId="0" fontId="14" fillId="2" borderId="16" xfId="0" applyFont="1" applyFill="1" applyBorder="1" applyAlignment="1">
      <alignment horizontal="center" vertical="center" wrapText="1"/>
    </xf>
    <xf numFmtId="168" fontId="16" fillId="7" borderId="38" xfId="11" applyNumberFormat="1" applyFont="1" applyFill="1" applyBorder="1" applyAlignment="1" applyProtection="1">
      <alignment horizontal="center" vertical="center"/>
    </xf>
    <xf numFmtId="0" fontId="15" fillId="7" borderId="37" xfId="11" applyFont="1" applyFill="1" applyBorder="1" applyAlignment="1">
      <alignment horizontal="center" vertical="center"/>
    </xf>
    <xf numFmtId="171" fontId="16" fillId="7" borderId="35" xfId="11" applyNumberFormat="1" applyFont="1" applyFill="1" applyBorder="1" applyAlignment="1" applyProtection="1">
      <alignment horizontal="center" vertical="center"/>
    </xf>
    <xf numFmtId="0" fontId="14" fillId="2" borderId="17" xfId="0" applyFont="1" applyFill="1" applyBorder="1" applyAlignment="1">
      <alignment horizontal="center" vertical="center" wrapText="1"/>
    </xf>
    <xf numFmtId="0" fontId="14" fillId="2" borderId="18" xfId="0" applyFont="1" applyFill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14" fontId="17" fillId="6" borderId="20" xfId="11" applyNumberFormat="1" applyFont="1" applyFill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167" fontId="14" fillId="4" borderId="25" xfId="0" applyNumberFormat="1" applyFont="1" applyFill="1" applyBorder="1" applyAlignment="1">
      <alignment horizontal="center" vertical="center" wrapText="1"/>
    </xf>
    <xf numFmtId="167" fontId="0" fillId="0" borderId="25" xfId="0" applyNumberFormat="1" applyBorder="1" applyAlignment="1">
      <alignment horizontal="center" vertical="center" wrapText="1"/>
    </xf>
    <xf numFmtId="0" fontId="14" fillId="3" borderId="31" xfId="0" applyFont="1" applyFill="1" applyBorder="1" applyAlignment="1">
      <alignment horizontal="center" vertical="center" wrapText="1"/>
    </xf>
    <xf numFmtId="170" fontId="14" fillId="7" borderId="35" xfId="8" applyNumberFormat="1" applyFont="1" applyFill="1" applyBorder="1" applyAlignment="1">
      <alignment horizontal="center" vertical="center"/>
    </xf>
    <xf numFmtId="170" fontId="0" fillId="7" borderId="25" xfId="8" applyNumberFormat="1" applyFont="1" applyFill="1" applyBorder="1" applyAlignment="1">
      <alignment horizontal="center" vertical="center"/>
    </xf>
    <xf numFmtId="167" fontId="16" fillId="7" borderId="35" xfId="11" applyNumberFormat="1" applyFont="1" applyFill="1" applyBorder="1" applyAlignment="1" applyProtection="1">
      <alignment horizontal="center" vertical="center"/>
    </xf>
    <xf numFmtId="167" fontId="16" fillId="7" borderId="25" xfId="11" applyNumberFormat="1" applyFont="1" applyFill="1" applyBorder="1" applyAlignment="1" applyProtection="1">
      <alignment horizontal="center" vertical="center"/>
    </xf>
    <xf numFmtId="1" fontId="16" fillId="7" borderId="25" xfId="11" applyNumberFormat="1" applyFont="1" applyFill="1" applyBorder="1" applyAlignment="1" applyProtection="1">
      <alignment horizontal="center" vertical="center"/>
    </xf>
    <xf numFmtId="1" fontId="16" fillId="7" borderId="42" xfId="11" applyNumberFormat="1" applyFont="1" applyFill="1" applyBorder="1" applyAlignment="1" applyProtection="1">
      <alignment horizontal="center" vertical="center"/>
    </xf>
    <xf numFmtId="3" fontId="0" fillId="0" borderId="25" xfId="0" applyNumberFormat="1" applyBorder="1" applyAlignment="1">
      <alignment horizontal="center" vertical="center" wrapText="1"/>
    </xf>
    <xf numFmtId="3" fontId="0" fillId="0" borderId="42" xfId="0" applyNumberFormat="1" applyBorder="1" applyAlignment="1">
      <alignment horizontal="center" vertical="center" wrapText="1"/>
    </xf>
    <xf numFmtId="171" fontId="14" fillId="7" borderId="35" xfId="8" applyNumberFormat="1" applyFont="1" applyFill="1" applyBorder="1" applyAlignment="1">
      <alignment horizontal="center" vertical="center"/>
    </xf>
    <xf numFmtId="171" fontId="0" fillId="7" borderId="25" xfId="8" applyNumberFormat="1" applyFont="1" applyFill="1" applyBorder="1" applyAlignment="1">
      <alignment horizontal="center" vertical="center"/>
    </xf>
    <xf numFmtId="171" fontId="14" fillId="4" borderId="25" xfId="0" applyNumberFormat="1" applyFont="1" applyFill="1" applyBorder="1" applyAlignment="1">
      <alignment horizontal="center" vertical="center" wrapText="1"/>
    </xf>
    <xf numFmtId="171" fontId="0" fillId="0" borderId="25" xfId="0" applyNumberFormat="1" applyBorder="1" applyAlignment="1">
      <alignment horizontal="center" vertical="center" wrapText="1"/>
    </xf>
    <xf numFmtId="3" fontId="5" fillId="7" borderId="45" xfId="13" applyNumberFormat="1" applyFont="1" applyFill="1" applyBorder="1" applyAlignment="1">
      <alignment vertical="center"/>
    </xf>
    <xf numFmtId="3" fontId="5" fillId="7" borderId="46" xfId="13" applyNumberFormat="1" applyFont="1" applyFill="1" applyBorder="1" applyAlignment="1">
      <alignment vertical="center"/>
    </xf>
    <xf numFmtId="3" fontId="14" fillId="4" borderId="25" xfId="0" applyNumberFormat="1" applyFont="1" applyFill="1" applyBorder="1" applyAlignment="1">
      <alignment horizontal="left" vertical="center" wrapText="1" indent="2"/>
    </xf>
    <xf numFmtId="3" fontId="0" fillId="0" borderId="42" xfId="0" applyNumberFormat="1" applyBorder="1" applyAlignment="1">
      <alignment horizontal="left" vertical="center" wrapText="1" indent="2"/>
    </xf>
    <xf numFmtId="0" fontId="15" fillId="7" borderId="40" xfId="11" applyFont="1" applyFill="1" applyBorder="1" applyAlignment="1">
      <alignment vertical="center"/>
    </xf>
    <xf numFmtId="0" fontId="15" fillId="7" borderId="43" xfId="11" applyFont="1" applyFill="1" applyBorder="1" applyAlignment="1">
      <alignment vertical="center"/>
    </xf>
    <xf numFmtId="3" fontId="16" fillId="7" borderId="25" xfId="11" applyNumberFormat="1" applyFont="1" applyFill="1" applyBorder="1" applyAlignment="1" applyProtection="1">
      <alignment horizontal="left" vertical="center" indent="2"/>
    </xf>
    <xf numFmtId="3" fontId="16" fillId="7" borderId="42" xfId="11" applyNumberFormat="1" applyFont="1" applyFill="1" applyBorder="1" applyAlignment="1" applyProtection="1">
      <alignment horizontal="left" vertical="center" indent="2"/>
    </xf>
    <xf numFmtId="3" fontId="5" fillId="7" borderId="36" xfId="18" applyNumberFormat="1" applyFont="1" applyFill="1" applyBorder="1" applyAlignment="1">
      <alignment vertical="center"/>
    </xf>
    <xf numFmtId="3" fontId="5" fillId="7" borderId="34" xfId="18" applyNumberFormat="1" applyFont="1" applyFill="1" applyBorder="1" applyAlignment="1">
      <alignment vertical="center"/>
    </xf>
    <xf numFmtId="3" fontId="5" fillId="7" borderId="41" xfId="18" applyNumberFormat="1" applyFont="1" applyFill="1" applyBorder="1" applyAlignment="1">
      <alignment vertical="center"/>
    </xf>
    <xf numFmtId="0" fontId="0" fillId="0" borderId="0" xfId="0" applyFont="1" applyAlignment="1">
      <alignment horizontal="left" vertical="center" wrapText="1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4" fillId="0" borderId="6" xfId="13" applyFont="1" applyBorder="1" applyAlignment="1">
      <alignment horizontal="center" wrapText="1"/>
    </xf>
    <xf numFmtId="0" fontId="7" fillId="0" borderId="6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165" fontId="4" fillId="0" borderId="6" xfId="8" applyNumberFormat="1" applyFont="1" applyBorder="1" applyAlignment="1">
      <alignment horizontal="center" wrapText="1"/>
    </xf>
    <xf numFmtId="165" fontId="7" fillId="0" borderId="6" xfId="8" applyNumberFormat="1" applyFont="1" applyBorder="1" applyAlignment="1">
      <alignment horizontal="center"/>
    </xf>
    <xf numFmtId="0" fontId="7" fillId="0" borderId="6" xfId="0" applyFont="1" applyFill="1" applyBorder="1" applyAlignment="1">
      <alignment horizontal="left" vertical="center" wrapText="1"/>
    </xf>
    <xf numFmtId="0" fontId="0" fillId="0" borderId="6" xfId="0" applyBorder="1" applyAlignment="1">
      <alignment horizontal="left"/>
    </xf>
    <xf numFmtId="0" fontId="0" fillId="0" borderId="6" xfId="0" applyBorder="1" applyAlignment="1"/>
  </cellXfs>
  <cellStyles count="20">
    <cellStyle name="Comma" xfId="8" builtinId="3"/>
    <cellStyle name="Comma 2" xfId="2"/>
    <cellStyle name="Comma 3" xfId="12"/>
    <cellStyle name="Comma 4" xfId="14"/>
    <cellStyle name="Comma 4 2" xfId="19"/>
    <cellStyle name="Comma 6 2" xfId="6"/>
    <cellStyle name="Comma 8" xfId="7"/>
    <cellStyle name="Followed Hyperlink" xfId="17" builtinId="9" hidden="1"/>
    <cellStyle name="Hyperlink" xfId="16" builtinId="8" hidden="1"/>
    <cellStyle name="Neutral 2" xfId="10"/>
    <cellStyle name="Normal" xfId="0" builtinId="0"/>
    <cellStyle name="Normal 2" xfId="1"/>
    <cellStyle name="Normal 2 2" xfId="4"/>
    <cellStyle name="Normal 3" xfId="9"/>
    <cellStyle name="Normal 3 2" xfId="11"/>
    <cellStyle name="Normal 4" xfId="3"/>
    <cellStyle name="Normal 5" xfId="13"/>
    <cellStyle name="Normal 5 2" xfId="18"/>
    <cellStyle name="Percent" xfId="15" builtinId="5"/>
    <cellStyle name="Percent 2" xfId="5"/>
  </cellStyles>
  <dxfs count="0"/>
  <tableStyles count="0" defaultTableStyle="TableStyleMedium2" defaultPivotStyle="PivotStyleLight16"/>
  <colors>
    <mruColors>
      <color rgb="FFFFCC99"/>
      <color rgb="FFFFCC00"/>
      <color rgb="FFFFCC66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1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2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2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2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3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6.xml"/></Relationships>
</file>

<file path=xl/charts/_rels/chart3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7.xml"/></Relationships>
</file>

<file path=xl/charts/_rels/chart3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8.xml"/></Relationships>
</file>

<file path=xl/charts/_rels/chart3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0.xml"/></Relationships>
</file>

<file path=xl/charts/_rels/chart3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1.xml"/></Relationships>
</file>

<file path=xl/charts/_rels/chart4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3.xml"/></Relationships>
</file>

<file path=xl/charts/_rels/chart4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4.xml"/></Relationships>
</file>

<file path=xl/charts/_rels/chart4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6.xml"/></Relationships>
</file>

<file path=xl/charts/_rels/chart4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7.xml"/></Relationships>
</file>

<file path=xl/charts/_rels/chart5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9.xml"/></Relationships>
</file>

<file path=xl/charts/_rels/chart5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0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5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2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>
                <a:latin typeface="+mn-lt"/>
                <a:cs typeface="Arial" panose="020B0604020202020204" pitchFamily="34" charset="0"/>
              </a:defRPr>
            </a:pPr>
            <a:r>
              <a:rPr lang="en-US"/>
              <a:t>ASDC Multi-Year Total Archive Volume Trend</a:t>
            </a:r>
          </a:p>
        </c:rich>
      </c:tx>
      <c:layout>
        <c:manualLayout>
          <c:xMode val="edge"/>
          <c:yMode val="edge"/>
          <c:x val="0.223544133657093"/>
          <c:y val="3.841216417989099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56188786714438"/>
          <c:y val="0.18228668594254499"/>
          <c:w val="0.80487043883359"/>
          <c:h val="0.6507674633483110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data!$B$156</c:f>
              <c:strCache>
                <c:ptCount val="1"/>
                <c:pt idx="0">
                  <c:v>ASDC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invertIfNegative val="0"/>
          <c:cat>
            <c:strRef>
              <c:f>data!$A$157:$A$165</c:f>
              <c:strCache>
                <c:ptCount val="9"/>
                <c:pt idx="0">
                  <c:v>FY08</c:v>
                </c:pt>
                <c:pt idx="1">
                  <c:v>FY09</c:v>
                </c:pt>
                <c:pt idx="2">
                  <c:v>FY10</c:v>
                </c:pt>
                <c:pt idx="3">
                  <c:v>FY11</c:v>
                </c:pt>
                <c:pt idx="4">
                  <c:v>FY12</c:v>
                </c:pt>
                <c:pt idx="5">
                  <c:v>FY13</c:v>
                </c:pt>
                <c:pt idx="6">
                  <c:v>FY14</c:v>
                </c:pt>
                <c:pt idx="7">
                  <c:v>FY15</c:v>
                </c:pt>
                <c:pt idx="8">
                  <c:v>FY16</c:v>
                </c:pt>
              </c:strCache>
            </c:strRef>
          </c:cat>
          <c:val>
            <c:numRef>
              <c:f>data!$B$157:$B$165</c:f>
              <c:numCache>
                <c:formatCode>_(* #,##0.00_);_(* \(#,##0.00\);_(* "-"??_);_(@_)</c:formatCode>
                <c:ptCount val="9"/>
                <c:pt idx="0">
                  <c:v>1828.7103789062501</c:v>
                </c:pt>
                <c:pt idx="1">
                  <c:v>2359.018</c:v>
                </c:pt>
                <c:pt idx="2">
                  <c:v>2082.8297632890626</c:v>
                </c:pt>
                <c:pt idx="3">
                  <c:v>1780.1082324218751</c:v>
                </c:pt>
                <c:pt idx="4">
                  <c:v>2167.0134765624998</c:v>
                </c:pt>
                <c:pt idx="5">
                  <c:v>2806.56</c:v>
                </c:pt>
                <c:pt idx="6">
                  <c:v>3268.5614688254918</c:v>
                </c:pt>
                <c:pt idx="7">
                  <c:v>3475</c:v>
                </c:pt>
                <c:pt idx="8">
                  <c:v>4159.7939453125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78219888"/>
        <c:axId val="-278219344"/>
      </c:barChart>
      <c:catAx>
        <c:axId val="-2782198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Fiscal Year</a:t>
                </a:r>
              </a:p>
            </c:rich>
          </c:tx>
          <c:layout>
            <c:manualLayout>
              <c:xMode val="edge"/>
              <c:yMode val="edge"/>
              <c:x val="0.49999567596515698"/>
              <c:y val="0.91411120752953801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 b="0" baseline="0">
                <a:latin typeface="+mn-lt"/>
                <a:cs typeface="Arial" panose="020B0604020202020204" pitchFamily="34" charset="0"/>
              </a:defRPr>
            </a:pPr>
            <a:endParaRPr lang="en-US"/>
          </a:p>
        </c:txPr>
        <c:crossAx val="-278219344"/>
        <c:crosses val="autoZero"/>
        <c:auto val="1"/>
        <c:lblAlgn val="ctr"/>
        <c:lblOffset val="100"/>
        <c:noMultiLvlLbl val="0"/>
      </c:catAx>
      <c:valAx>
        <c:axId val="-27821934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Volume (TB)</a:t>
                </a:r>
              </a:p>
            </c:rich>
          </c:tx>
          <c:layout>
            <c:manualLayout>
              <c:xMode val="edge"/>
              <c:yMode val="edge"/>
              <c:x val="1.62849872773537E-2"/>
              <c:y val="0.34790157257870402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1200">
                <a:latin typeface="+mn-lt"/>
                <a:cs typeface="Arial" panose="020B0604020202020204" pitchFamily="34" charset="0"/>
              </a:defRPr>
            </a:pPr>
            <a:endParaRPr lang="en-US"/>
          </a:p>
        </c:txPr>
        <c:crossAx val="-278219888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0000000000004" l="0.70000000000000095" r="0.70000000000000095" t="0.750000000000004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8982927746641"/>
          <c:y val="0.14901950216041901"/>
          <c:w val="0.85018015139071501"/>
          <c:h val="0.68891197860574704"/>
        </c:manualLayout>
      </c:layout>
      <c:lineChart>
        <c:grouping val="standard"/>
        <c:varyColors val="0"/>
        <c:ser>
          <c:idx val="0"/>
          <c:order val="0"/>
          <c:tx>
            <c:strRef>
              <c:f>data!$D$168</c:f>
              <c:strCache>
                <c:ptCount val="1"/>
                <c:pt idx="0">
                  <c:v>CDDIS</c:v>
                </c:pt>
              </c:strCache>
            </c:strRef>
          </c:tx>
          <c:marker>
            <c:symbol val="none"/>
          </c:marker>
          <c:cat>
            <c:strRef>
              <c:f>data!$A$169:$A$177</c:f>
              <c:strCache>
                <c:ptCount val="9"/>
                <c:pt idx="0">
                  <c:v>FY08</c:v>
                </c:pt>
                <c:pt idx="1">
                  <c:v>FY09</c:v>
                </c:pt>
                <c:pt idx="2">
                  <c:v>FY10</c:v>
                </c:pt>
                <c:pt idx="3">
                  <c:v>FY11</c:v>
                </c:pt>
                <c:pt idx="4">
                  <c:v>FY12</c:v>
                </c:pt>
                <c:pt idx="5">
                  <c:v>FY13</c:v>
                </c:pt>
                <c:pt idx="6">
                  <c:v>FY14</c:v>
                </c:pt>
                <c:pt idx="7">
                  <c:v>FY15</c:v>
                </c:pt>
                <c:pt idx="8">
                  <c:v>FY16</c:v>
                </c:pt>
              </c:strCache>
            </c:strRef>
          </c:cat>
          <c:val>
            <c:numRef>
              <c:f>data!$D$169:$D$177</c:f>
              <c:numCache>
                <c:formatCode>0.0%</c:formatCode>
                <c:ptCount val="9"/>
                <c:pt idx="1">
                  <c:v>0.44433094994892747</c:v>
                </c:pt>
                <c:pt idx="2">
                  <c:v>0.4325581395348837</c:v>
                </c:pt>
                <c:pt idx="3">
                  <c:v>0.46153846153846156</c:v>
                </c:pt>
                <c:pt idx="4">
                  <c:v>0.45710095331214862</c:v>
                </c:pt>
                <c:pt idx="5">
                  <c:v>0.5045189797148022</c:v>
                </c:pt>
                <c:pt idx="6">
                  <c:v>0.46902654867256638</c:v>
                </c:pt>
                <c:pt idx="7">
                  <c:v>0.43352601156069365</c:v>
                </c:pt>
                <c:pt idx="8">
                  <c:v>0.43352601156069365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81012640"/>
        <c:axId val="-181012096"/>
      </c:lineChart>
      <c:catAx>
        <c:axId val="-1810126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Fiscal Year</a:t>
                </a:r>
              </a:p>
            </c:rich>
          </c:tx>
          <c:layout>
            <c:manualLayout>
              <c:xMode val="edge"/>
              <c:yMode val="edge"/>
              <c:x val="0.48422756091902203"/>
              <c:y val="0.91945592070692705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 b="0" baseline="0">
                <a:latin typeface="+mn-lt"/>
                <a:cs typeface="Arial" panose="020B0604020202020204" pitchFamily="34" charset="0"/>
              </a:defRPr>
            </a:pPr>
            <a:endParaRPr lang="en-US"/>
          </a:p>
        </c:txPr>
        <c:crossAx val="-181012096"/>
        <c:crosses val="autoZero"/>
        <c:auto val="1"/>
        <c:lblAlgn val="ctr"/>
        <c:lblOffset val="100"/>
        <c:noMultiLvlLbl val="0"/>
      </c:catAx>
      <c:valAx>
        <c:axId val="-18101209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Percentage</a:t>
                </a:r>
              </a:p>
            </c:rich>
          </c:tx>
          <c:layout>
            <c:manualLayout>
              <c:xMode val="edge"/>
              <c:yMode val="edge"/>
              <c:x val="4.8473441747445998E-3"/>
              <c:y val="0.36539536980201598"/>
            </c:manualLayout>
          </c:layout>
          <c:overlay val="0"/>
        </c:title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sz="1200">
                <a:solidFill>
                  <a:sysClr val="windowText" lastClr="000000"/>
                </a:solidFill>
                <a:latin typeface="+mn-lt"/>
                <a:cs typeface="Arial" panose="020B0604020202020204" pitchFamily="34" charset="0"/>
              </a:defRPr>
            </a:pPr>
            <a:endParaRPr lang="en-US"/>
          </a:p>
        </c:txPr>
        <c:crossAx val="-181012640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0000000000004" l="0.70000000000000095" r="0.70000000000000095" t="0.750000000000004" header="0.3" footer="0.3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44377647232707"/>
          <c:y val="0.143607581541664"/>
          <c:w val="0.80852879025372704"/>
          <c:h val="0.7057685758279259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data!$H$233</c:f>
              <c:strCache>
                <c:ptCount val="1"/>
                <c:pt idx="0">
                  <c:v>VISITS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data!$A$234:$A$243</c:f>
              <c:strCache>
                <c:ptCount val="10"/>
                <c:pt idx="0">
                  <c:v>FY07</c:v>
                </c:pt>
                <c:pt idx="1">
                  <c:v>FY08</c:v>
                </c:pt>
                <c:pt idx="2">
                  <c:v>FY09</c:v>
                </c:pt>
                <c:pt idx="3">
                  <c:v>FY10</c:v>
                </c:pt>
                <c:pt idx="4">
                  <c:v>FY11</c:v>
                </c:pt>
                <c:pt idx="5">
                  <c:v>FY12</c:v>
                </c:pt>
                <c:pt idx="6">
                  <c:v>FY13</c:v>
                </c:pt>
                <c:pt idx="7">
                  <c:v>FY14</c:v>
                </c:pt>
                <c:pt idx="8">
                  <c:v>FY15</c:v>
                </c:pt>
                <c:pt idx="9">
                  <c:v>FY16</c:v>
                </c:pt>
              </c:strCache>
            </c:strRef>
          </c:cat>
          <c:val>
            <c:numRef>
              <c:f>data!$H$234:$H$243</c:f>
              <c:numCache>
                <c:formatCode>General</c:formatCode>
                <c:ptCount val="10"/>
                <c:pt idx="2">
                  <c:v>1195</c:v>
                </c:pt>
                <c:pt idx="3">
                  <c:v>2241</c:v>
                </c:pt>
                <c:pt idx="4">
                  <c:v>2504</c:v>
                </c:pt>
                <c:pt idx="5">
                  <c:v>5628</c:v>
                </c:pt>
                <c:pt idx="6">
                  <c:v>8326</c:v>
                </c:pt>
                <c:pt idx="7">
                  <c:v>6975</c:v>
                </c:pt>
                <c:pt idx="8">
                  <c:v>8284</c:v>
                </c:pt>
                <c:pt idx="9">
                  <c:v>10869</c:v>
                </c:pt>
              </c:numCache>
            </c:numRef>
          </c:val>
        </c:ser>
        <c:ser>
          <c:idx val="1"/>
          <c:order val="1"/>
          <c:tx>
            <c:strRef>
              <c:f>data!$I$233</c:f>
              <c:strCache>
                <c:ptCount val="1"/>
                <c:pt idx="0">
                  <c:v>VIEWS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data!$A$234:$A$243</c:f>
              <c:strCache>
                <c:ptCount val="10"/>
                <c:pt idx="0">
                  <c:v>FY07</c:v>
                </c:pt>
                <c:pt idx="1">
                  <c:v>FY08</c:v>
                </c:pt>
                <c:pt idx="2">
                  <c:v>FY09</c:v>
                </c:pt>
                <c:pt idx="3">
                  <c:v>FY10</c:v>
                </c:pt>
                <c:pt idx="4">
                  <c:v>FY11</c:v>
                </c:pt>
                <c:pt idx="5">
                  <c:v>FY12</c:v>
                </c:pt>
                <c:pt idx="6">
                  <c:v>FY13</c:v>
                </c:pt>
                <c:pt idx="7">
                  <c:v>FY14</c:v>
                </c:pt>
                <c:pt idx="8">
                  <c:v>FY15</c:v>
                </c:pt>
                <c:pt idx="9">
                  <c:v>FY16</c:v>
                </c:pt>
              </c:strCache>
            </c:strRef>
          </c:cat>
          <c:val>
            <c:numRef>
              <c:f>data!$I$234:$I$243</c:f>
              <c:numCache>
                <c:formatCode>General</c:formatCode>
                <c:ptCount val="10"/>
                <c:pt idx="2">
                  <c:v>7220</c:v>
                </c:pt>
                <c:pt idx="3">
                  <c:v>13695</c:v>
                </c:pt>
                <c:pt idx="4">
                  <c:v>57720</c:v>
                </c:pt>
                <c:pt idx="5">
                  <c:v>108135</c:v>
                </c:pt>
                <c:pt idx="6">
                  <c:v>347006</c:v>
                </c:pt>
                <c:pt idx="7">
                  <c:v>122957</c:v>
                </c:pt>
                <c:pt idx="8">
                  <c:v>53139</c:v>
                </c:pt>
                <c:pt idx="9">
                  <c:v>64554</c:v>
                </c:pt>
              </c:numCache>
            </c:numRef>
          </c:val>
        </c:ser>
        <c:ser>
          <c:idx val="2"/>
          <c:order val="2"/>
          <c:tx>
            <c:strRef>
              <c:f>data!$J$233</c:f>
              <c:strCache>
                <c:ptCount val="1"/>
                <c:pt idx="0">
                  <c:v>VISITORS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data!$A$234:$A$243</c:f>
              <c:strCache>
                <c:ptCount val="10"/>
                <c:pt idx="0">
                  <c:v>FY07</c:v>
                </c:pt>
                <c:pt idx="1">
                  <c:v>FY08</c:v>
                </c:pt>
                <c:pt idx="2">
                  <c:v>FY09</c:v>
                </c:pt>
                <c:pt idx="3">
                  <c:v>FY10</c:v>
                </c:pt>
                <c:pt idx="4">
                  <c:v>FY11</c:v>
                </c:pt>
                <c:pt idx="5">
                  <c:v>FY12</c:v>
                </c:pt>
                <c:pt idx="6">
                  <c:v>FY13</c:v>
                </c:pt>
                <c:pt idx="7">
                  <c:v>FY14</c:v>
                </c:pt>
                <c:pt idx="8">
                  <c:v>FY15</c:v>
                </c:pt>
                <c:pt idx="9">
                  <c:v>FY16</c:v>
                </c:pt>
              </c:strCache>
            </c:strRef>
          </c:cat>
          <c:val>
            <c:numRef>
              <c:f>data!$J$234:$J$243</c:f>
              <c:numCache>
                <c:formatCode>General</c:formatCode>
                <c:ptCount val="10"/>
                <c:pt idx="2">
                  <c:v>979</c:v>
                </c:pt>
                <c:pt idx="3">
                  <c:v>1935</c:v>
                </c:pt>
                <c:pt idx="4">
                  <c:v>2093</c:v>
                </c:pt>
                <c:pt idx="5">
                  <c:v>4486</c:v>
                </c:pt>
                <c:pt idx="6">
                  <c:v>5414</c:v>
                </c:pt>
                <c:pt idx="7">
                  <c:v>4896</c:v>
                </c:pt>
                <c:pt idx="8">
                  <c:v>6574</c:v>
                </c:pt>
                <c:pt idx="9">
                  <c:v>8640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345921184"/>
        <c:axId val="-345920640"/>
      </c:barChart>
      <c:catAx>
        <c:axId val="-3459211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="1">
                    <a:solidFill>
                      <a:sysClr val="windowText" lastClr="000000"/>
                    </a:solidFill>
                  </a:rPr>
                  <a:t>Fiscal Year</a:t>
                </a:r>
              </a:p>
            </c:rich>
          </c:tx>
          <c:layout>
            <c:manualLayout>
              <c:xMode val="edge"/>
              <c:yMode val="edge"/>
              <c:x val="0.52015726535887796"/>
              <c:y val="0.92867232948051204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345920640"/>
        <c:crosses val="autoZero"/>
        <c:auto val="1"/>
        <c:lblAlgn val="ctr"/>
        <c:lblOffset val="100"/>
        <c:noMultiLvlLbl val="0"/>
      </c:catAx>
      <c:valAx>
        <c:axId val="-345920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="1">
                    <a:solidFill>
                      <a:sysClr val="windowText" lastClr="000000"/>
                    </a:solidFill>
                  </a:rPr>
                  <a:t>Number </a:t>
                </a:r>
              </a:p>
            </c:rich>
          </c:tx>
          <c:layout>
            <c:manualLayout>
              <c:xMode val="edge"/>
              <c:yMode val="edge"/>
              <c:x val="3.3999234192006499E-3"/>
              <c:y val="0.346614823753157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345921184"/>
        <c:crosses val="autoZero"/>
        <c:crossBetween val="between"/>
      </c:valAx>
      <c:spPr>
        <a:noFill/>
        <a:ln>
          <a:solidFill>
            <a:schemeClr val="bg1">
              <a:lumMod val="50000"/>
            </a:schemeClr>
          </a:solidFill>
        </a:ln>
        <a:effectLst/>
      </c:spPr>
    </c:plotArea>
    <c:legend>
      <c:legendPos val="b"/>
      <c:layout>
        <c:manualLayout>
          <c:xMode val="edge"/>
          <c:yMode val="edge"/>
          <c:x val="0.48211880570389981"/>
          <c:y val="0.16342909314504475"/>
          <c:w val="0.43458209103110301"/>
          <c:h val="7.00697022117758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>
                <a:latin typeface="+mn-lt"/>
                <a:cs typeface="Arial" panose="020B0604020202020204" pitchFamily="34" charset="0"/>
              </a:defRPr>
            </a:pPr>
            <a:r>
              <a:rPr lang="en-US"/>
              <a:t>CDDIS Multi-Year Product Distribution Trend</a:t>
            </a:r>
          </a:p>
        </c:rich>
      </c:tx>
      <c:layout>
        <c:manualLayout>
          <c:xMode val="edge"/>
          <c:yMode val="edge"/>
          <c:x val="0.219374642226661"/>
          <c:y val="4.287412256015359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3107657173634"/>
          <c:y val="0.18225294239347301"/>
          <c:w val="0.85726272307204099"/>
          <c:h val="0.6552930766861140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Summary_data!$F$20</c:f>
              <c:strCache>
                <c:ptCount val="1"/>
                <c:pt idx="0">
                  <c:v>CDDIS</c:v>
                </c:pt>
              </c:strCache>
            </c:strRef>
          </c:tx>
          <c:invertIfNegative val="0"/>
          <c:cat>
            <c:strRef>
              <c:f>Summary_data!$C$21:$C$30</c:f>
              <c:strCache>
                <c:ptCount val="10"/>
                <c:pt idx="0">
                  <c:v>FY07</c:v>
                </c:pt>
                <c:pt idx="1">
                  <c:v>FY08</c:v>
                </c:pt>
                <c:pt idx="2">
                  <c:v>FY09</c:v>
                </c:pt>
                <c:pt idx="3">
                  <c:v>FY10</c:v>
                </c:pt>
                <c:pt idx="4">
                  <c:v>FY11</c:v>
                </c:pt>
                <c:pt idx="5">
                  <c:v>FY12</c:v>
                </c:pt>
                <c:pt idx="6">
                  <c:v>FY13</c:v>
                </c:pt>
                <c:pt idx="7">
                  <c:v>FY14</c:v>
                </c:pt>
                <c:pt idx="8">
                  <c:v>FY15</c:v>
                </c:pt>
                <c:pt idx="9">
                  <c:v>FY16</c:v>
                </c:pt>
              </c:strCache>
            </c:strRef>
          </c:cat>
          <c:val>
            <c:numRef>
              <c:f>Summary_data!$F$21:$F$30</c:f>
              <c:numCache>
                <c:formatCode>_(* #,##0.0_);_(* \(#,##0.0\);_(* "-"??_);_(@_)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37.058059999999998</c:v>
                </c:pt>
                <c:pt idx="3">
                  <c:v>52.599871</c:v>
                </c:pt>
                <c:pt idx="4">
                  <c:v>112.330657</c:v>
                </c:pt>
                <c:pt idx="5">
                  <c:v>120.025964</c:v>
                </c:pt>
                <c:pt idx="6">
                  <c:v>120.930572</c:v>
                </c:pt>
                <c:pt idx="7">
                  <c:v>144.29374799999999</c:v>
                </c:pt>
                <c:pt idx="8">
                  <c:v>172.03639100000001</c:v>
                </c:pt>
                <c:pt idx="9">
                  <c:v>316.508622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345921728"/>
        <c:axId val="-345919552"/>
      </c:barChart>
      <c:catAx>
        <c:axId val="-3459217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Fiscal Year</a:t>
                </a:r>
              </a:p>
            </c:rich>
          </c:tx>
          <c:layout>
            <c:manualLayout>
              <c:xMode val="edge"/>
              <c:yMode val="edge"/>
              <c:x val="0.51269424232162897"/>
              <c:y val="0.91856945601153805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 b="0" baseline="0">
                <a:latin typeface="+mn-lt"/>
                <a:cs typeface="Arial" panose="020B0604020202020204" pitchFamily="34" charset="0"/>
              </a:defRPr>
            </a:pPr>
            <a:endParaRPr lang="en-US"/>
          </a:p>
        </c:txPr>
        <c:crossAx val="-345919552"/>
        <c:crosses val="autoZero"/>
        <c:auto val="1"/>
        <c:lblAlgn val="ctr"/>
        <c:lblOffset val="100"/>
        <c:noMultiLvlLbl val="0"/>
      </c:catAx>
      <c:valAx>
        <c:axId val="-34591955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Product Distributed (Millions)</a:t>
                </a:r>
              </a:p>
            </c:rich>
          </c:tx>
          <c:layout>
            <c:manualLayout>
              <c:xMode val="edge"/>
              <c:yMode val="edge"/>
              <c:x val="1.6285028493567399E-2"/>
              <c:y val="0.17328868888728299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1200">
                <a:latin typeface="+mn-lt"/>
                <a:cs typeface="Arial" panose="020B0604020202020204" pitchFamily="34" charset="0"/>
              </a:defRPr>
            </a:pPr>
            <a:endParaRPr lang="en-US"/>
          </a:p>
        </c:txPr>
        <c:crossAx val="-345921728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0000000000004" l="0.70000000000000095" r="0.70000000000000095" t="0.750000000000004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>
                <a:latin typeface="+mn-lt"/>
                <a:cs typeface="Arial" panose="020B0604020202020204" pitchFamily="34" charset="0"/>
              </a:defRPr>
            </a:pPr>
            <a:r>
              <a:rPr lang="en-US"/>
              <a:t>GESDISC Multi-Year Total Archive Volume Trend</a:t>
            </a:r>
          </a:p>
        </c:rich>
      </c:tx>
      <c:layout>
        <c:manualLayout>
          <c:xMode val="edge"/>
          <c:yMode val="edge"/>
          <c:x val="0.223544133657093"/>
          <c:y val="3.841216417989099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56188786714438"/>
          <c:y val="0.18228668594254499"/>
          <c:w val="0.80487043883359"/>
          <c:h val="0.6507674633483110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data!$E$156</c:f>
              <c:strCache>
                <c:ptCount val="1"/>
                <c:pt idx="0">
                  <c:v>GESDISC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invertIfNegative val="0"/>
          <c:cat>
            <c:strRef>
              <c:f>data!$A$157:$A$165</c:f>
              <c:strCache>
                <c:ptCount val="9"/>
                <c:pt idx="0">
                  <c:v>FY08</c:v>
                </c:pt>
                <c:pt idx="1">
                  <c:v>FY09</c:v>
                </c:pt>
                <c:pt idx="2">
                  <c:v>FY10</c:v>
                </c:pt>
                <c:pt idx="3">
                  <c:v>FY11</c:v>
                </c:pt>
                <c:pt idx="4">
                  <c:v>FY12</c:v>
                </c:pt>
                <c:pt idx="5">
                  <c:v>FY13</c:v>
                </c:pt>
                <c:pt idx="6">
                  <c:v>FY14</c:v>
                </c:pt>
                <c:pt idx="7">
                  <c:v>FY15</c:v>
                </c:pt>
                <c:pt idx="8">
                  <c:v>FY16</c:v>
                </c:pt>
              </c:strCache>
            </c:strRef>
          </c:cat>
          <c:val>
            <c:numRef>
              <c:f>data!$E$157:$E$165</c:f>
              <c:numCache>
                <c:formatCode>_(* #,##0.00_);_(* \(#,##0.00\);_(* "-"??_);_(@_)</c:formatCode>
                <c:ptCount val="9"/>
                <c:pt idx="0">
                  <c:v>219.88722949218749</c:v>
                </c:pt>
                <c:pt idx="1">
                  <c:v>317.83100000000002</c:v>
                </c:pt>
                <c:pt idx="2">
                  <c:v>381.539158203125</c:v>
                </c:pt>
                <c:pt idx="3">
                  <c:v>422.22720703124997</c:v>
                </c:pt>
                <c:pt idx="4">
                  <c:v>515.71818359375004</c:v>
                </c:pt>
                <c:pt idx="5">
                  <c:v>668.55621093750005</c:v>
                </c:pt>
                <c:pt idx="6">
                  <c:v>775.30918685094673</c:v>
                </c:pt>
                <c:pt idx="7">
                  <c:v>1161.8378222656249</c:v>
                </c:pt>
                <c:pt idx="8">
                  <c:v>1425.640654296875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345925536"/>
        <c:axId val="-610683616"/>
      </c:barChart>
      <c:catAx>
        <c:axId val="-3459255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Fiscal Year</a:t>
                </a:r>
              </a:p>
            </c:rich>
          </c:tx>
          <c:layout>
            <c:manualLayout>
              <c:xMode val="edge"/>
              <c:yMode val="edge"/>
              <c:x val="0.49999567596515698"/>
              <c:y val="0.91411120752953801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 b="0" baseline="0">
                <a:latin typeface="+mn-lt"/>
                <a:cs typeface="Arial" panose="020B0604020202020204" pitchFamily="34" charset="0"/>
              </a:defRPr>
            </a:pPr>
            <a:endParaRPr lang="en-US"/>
          </a:p>
        </c:txPr>
        <c:crossAx val="-610683616"/>
        <c:crosses val="autoZero"/>
        <c:auto val="1"/>
        <c:lblAlgn val="ctr"/>
        <c:lblOffset val="100"/>
        <c:noMultiLvlLbl val="0"/>
      </c:catAx>
      <c:valAx>
        <c:axId val="-61068361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Volume (TB)</a:t>
                </a:r>
              </a:p>
            </c:rich>
          </c:tx>
          <c:layout>
            <c:manualLayout>
              <c:xMode val="edge"/>
              <c:yMode val="edge"/>
              <c:x val="1.62849872773537E-2"/>
              <c:y val="0.34790157257870402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1200">
                <a:latin typeface="+mn-lt"/>
                <a:cs typeface="Arial" panose="020B0604020202020204" pitchFamily="34" charset="0"/>
              </a:defRPr>
            </a:pPr>
            <a:endParaRPr lang="en-US"/>
          </a:p>
        </c:txPr>
        <c:crossAx val="-345925536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0000000000004" l="0.70000000000000095" r="0.70000000000000095" t="0.750000000000004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969718055696397"/>
          <c:y val="0.14901950216041901"/>
          <c:w val="0.839465925789318"/>
          <c:h val="0.68891197860574704"/>
        </c:manualLayout>
      </c:layout>
      <c:lineChart>
        <c:grouping val="standard"/>
        <c:varyColors val="0"/>
        <c:ser>
          <c:idx val="0"/>
          <c:order val="0"/>
          <c:tx>
            <c:strRef>
              <c:f>data!$E$168</c:f>
              <c:strCache>
                <c:ptCount val="1"/>
                <c:pt idx="0">
                  <c:v>GES DISC</c:v>
                </c:pt>
              </c:strCache>
            </c:strRef>
          </c:tx>
          <c:marker>
            <c:symbol val="none"/>
          </c:marker>
          <c:cat>
            <c:strRef>
              <c:f>data!$A$169:$A$177</c:f>
              <c:strCache>
                <c:ptCount val="9"/>
                <c:pt idx="0">
                  <c:v>FY08</c:v>
                </c:pt>
                <c:pt idx="1">
                  <c:v>FY09</c:v>
                </c:pt>
                <c:pt idx="2">
                  <c:v>FY10</c:v>
                </c:pt>
                <c:pt idx="3">
                  <c:v>FY11</c:v>
                </c:pt>
                <c:pt idx="4">
                  <c:v>FY12</c:v>
                </c:pt>
                <c:pt idx="5">
                  <c:v>FY13</c:v>
                </c:pt>
                <c:pt idx="6">
                  <c:v>FY14</c:v>
                </c:pt>
                <c:pt idx="7">
                  <c:v>FY15</c:v>
                </c:pt>
                <c:pt idx="8">
                  <c:v>FY16</c:v>
                </c:pt>
              </c:strCache>
            </c:strRef>
          </c:cat>
          <c:val>
            <c:numRef>
              <c:f>data!$E$169:$E$177</c:f>
              <c:numCache>
                <c:formatCode>0.0%</c:formatCode>
                <c:ptCount val="9"/>
                <c:pt idx="0">
                  <c:v>0.16945548561694312</c:v>
                </c:pt>
                <c:pt idx="1">
                  <c:v>0.12795633717404487</c:v>
                </c:pt>
                <c:pt idx="2">
                  <c:v>0.24312821204724699</c:v>
                </c:pt>
                <c:pt idx="3">
                  <c:v>0.25707862269766241</c:v>
                </c:pt>
                <c:pt idx="4">
                  <c:v>0.32813815121172546</c:v>
                </c:pt>
                <c:pt idx="5">
                  <c:v>0.37452845127096934</c:v>
                </c:pt>
                <c:pt idx="6">
                  <c:v>0.41089104025421636</c:v>
                </c:pt>
                <c:pt idx="7">
                  <c:v>0.35548922384829218</c:v>
                </c:pt>
                <c:pt idx="8">
                  <c:v>0.35548922384829218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610687968"/>
        <c:axId val="-610686336"/>
      </c:lineChart>
      <c:catAx>
        <c:axId val="-6106879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Fiscal Year</a:t>
                </a:r>
              </a:p>
            </c:rich>
          </c:tx>
          <c:layout>
            <c:manualLayout>
              <c:xMode val="edge"/>
              <c:yMode val="edge"/>
              <c:x val="0.48422756091902203"/>
              <c:y val="0.91945592070692705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 b="0" baseline="0">
                <a:latin typeface="+mn-lt"/>
                <a:cs typeface="Arial" panose="020B0604020202020204" pitchFamily="34" charset="0"/>
              </a:defRPr>
            </a:pPr>
            <a:endParaRPr lang="en-US"/>
          </a:p>
        </c:txPr>
        <c:crossAx val="-610686336"/>
        <c:crosses val="autoZero"/>
        <c:auto val="1"/>
        <c:lblAlgn val="ctr"/>
        <c:lblOffset val="100"/>
        <c:noMultiLvlLbl val="0"/>
      </c:catAx>
      <c:valAx>
        <c:axId val="-61068633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Percentage</a:t>
                </a:r>
              </a:p>
            </c:rich>
          </c:tx>
          <c:layout>
            <c:manualLayout>
              <c:xMode val="edge"/>
              <c:yMode val="edge"/>
              <c:x val="4.8473441747445998E-3"/>
              <c:y val="0.36539536980201598"/>
            </c:manualLayout>
          </c:layout>
          <c:overlay val="0"/>
        </c:title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sz="1200">
                <a:solidFill>
                  <a:sysClr val="windowText" lastClr="000000"/>
                </a:solidFill>
                <a:latin typeface="+mn-lt"/>
                <a:cs typeface="Arial" panose="020B0604020202020204" pitchFamily="34" charset="0"/>
              </a:defRPr>
            </a:pPr>
            <a:endParaRPr lang="en-US"/>
          </a:p>
        </c:txPr>
        <c:crossAx val="-610687968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0000000000004" l="0.70000000000000095" r="0.70000000000000095" t="0.750000000000004" header="0.3" footer="0.3"/>
    <c:pageSetup/>
  </c:printSettings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4617039265194"/>
          <c:y val="0.143607581541664"/>
          <c:w val="0.798349496295651"/>
          <c:h val="0.7057685758279259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data!$K$233</c:f>
              <c:strCache>
                <c:ptCount val="1"/>
                <c:pt idx="0">
                  <c:v>VISITS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data!$A$234:$A$243</c:f>
              <c:strCache>
                <c:ptCount val="10"/>
                <c:pt idx="0">
                  <c:v>FY07</c:v>
                </c:pt>
                <c:pt idx="1">
                  <c:v>FY08</c:v>
                </c:pt>
                <c:pt idx="2">
                  <c:v>FY09</c:v>
                </c:pt>
                <c:pt idx="3">
                  <c:v>FY10</c:v>
                </c:pt>
                <c:pt idx="4">
                  <c:v>FY11</c:v>
                </c:pt>
                <c:pt idx="5">
                  <c:v>FY12</c:v>
                </c:pt>
                <c:pt idx="6">
                  <c:v>FY13</c:v>
                </c:pt>
                <c:pt idx="7">
                  <c:v>FY14</c:v>
                </c:pt>
                <c:pt idx="8">
                  <c:v>FY15</c:v>
                </c:pt>
                <c:pt idx="9">
                  <c:v>FY16</c:v>
                </c:pt>
              </c:strCache>
            </c:strRef>
          </c:cat>
          <c:val>
            <c:numRef>
              <c:f>data!$K$234:$K$243</c:f>
              <c:numCache>
                <c:formatCode>General</c:formatCode>
                <c:ptCount val="10"/>
                <c:pt idx="0">
                  <c:v>141171</c:v>
                </c:pt>
                <c:pt idx="1">
                  <c:v>143781</c:v>
                </c:pt>
                <c:pt idx="2">
                  <c:v>144585</c:v>
                </c:pt>
                <c:pt idx="3">
                  <c:v>155369</c:v>
                </c:pt>
                <c:pt idx="4">
                  <c:v>191134</c:v>
                </c:pt>
                <c:pt idx="5">
                  <c:v>214570</c:v>
                </c:pt>
                <c:pt idx="6">
                  <c:v>225553</c:v>
                </c:pt>
                <c:pt idx="7">
                  <c:v>217305</c:v>
                </c:pt>
                <c:pt idx="8">
                  <c:v>246689</c:v>
                </c:pt>
                <c:pt idx="9">
                  <c:v>206088</c:v>
                </c:pt>
              </c:numCache>
            </c:numRef>
          </c:val>
        </c:ser>
        <c:ser>
          <c:idx val="1"/>
          <c:order val="1"/>
          <c:tx>
            <c:strRef>
              <c:f>data!$L$233</c:f>
              <c:strCache>
                <c:ptCount val="1"/>
                <c:pt idx="0">
                  <c:v>VIEWS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data!$A$234:$A$243</c:f>
              <c:strCache>
                <c:ptCount val="10"/>
                <c:pt idx="0">
                  <c:v>FY07</c:v>
                </c:pt>
                <c:pt idx="1">
                  <c:v>FY08</c:v>
                </c:pt>
                <c:pt idx="2">
                  <c:v>FY09</c:v>
                </c:pt>
                <c:pt idx="3">
                  <c:v>FY10</c:v>
                </c:pt>
                <c:pt idx="4">
                  <c:v>FY11</c:v>
                </c:pt>
                <c:pt idx="5">
                  <c:v>FY12</c:v>
                </c:pt>
                <c:pt idx="6">
                  <c:v>FY13</c:v>
                </c:pt>
                <c:pt idx="7">
                  <c:v>FY14</c:v>
                </c:pt>
                <c:pt idx="8">
                  <c:v>FY15</c:v>
                </c:pt>
                <c:pt idx="9">
                  <c:v>FY16</c:v>
                </c:pt>
              </c:strCache>
            </c:strRef>
          </c:cat>
          <c:val>
            <c:numRef>
              <c:f>data!$L$234:$L$243</c:f>
              <c:numCache>
                <c:formatCode>General</c:formatCode>
                <c:ptCount val="10"/>
                <c:pt idx="0">
                  <c:v>1607037</c:v>
                </c:pt>
                <c:pt idx="1">
                  <c:v>1636681</c:v>
                </c:pt>
                <c:pt idx="2">
                  <c:v>3472493</c:v>
                </c:pt>
                <c:pt idx="3">
                  <c:v>5690078</c:v>
                </c:pt>
                <c:pt idx="4">
                  <c:v>7011266</c:v>
                </c:pt>
                <c:pt idx="5">
                  <c:v>7631590</c:v>
                </c:pt>
                <c:pt idx="6">
                  <c:v>9735100</c:v>
                </c:pt>
                <c:pt idx="7">
                  <c:v>10234228</c:v>
                </c:pt>
                <c:pt idx="8">
                  <c:v>6004302</c:v>
                </c:pt>
                <c:pt idx="9">
                  <c:v>2180301</c:v>
                </c:pt>
              </c:numCache>
            </c:numRef>
          </c:val>
        </c:ser>
        <c:ser>
          <c:idx val="2"/>
          <c:order val="2"/>
          <c:tx>
            <c:strRef>
              <c:f>data!$M$233</c:f>
              <c:strCache>
                <c:ptCount val="1"/>
                <c:pt idx="0">
                  <c:v>VISITORS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data!$A$234:$A$243</c:f>
              <c:strCache>
                <c:ptCount val="10"/>
                <c:pt idx="0">
                  <c:v>FY07</c:v>
                </c:pt>
                <c:pt idx="1">
                  <c:v>FY08</c:v>
                </c:pt>
                <c:pt idx="2">
                  <c:v>FY09</c:v>
                </c:pt>
                <c:pt idx="3">
                  <c:v>FY10</c:v>
                </c:pt>
                <c:pt idx="4">
                  <c:v>FY11</c:v>
                </c:pt>
                <c:pt idx="5">
                  <c:v>FY12</c:v>
                </c:pt>
                <c:pt idx="6">
                  <c:v>FY13</c:v>
                </c:pt>
                <c:pt idx="7">
                  <c:v>FY14</c:v>
                </c:pt>
                <c:pt idx="8">
                  <c:v>FY15</c:v>
                </c:pt>
                <c:pt idx="9">
                  <c:v>FY16</c:v>
                </c:pt>
              </c:strCache>
            </c:strRef>
          </c:cat>
          <c:val>
            <c:numRef>
              <c:f>data!$M$234:$M$243</c:f>
              <c:numCache>
                <c:formatCode>General</c:formatCode>
                <c:ptCount val="10"/>
                <c:pt idx="0">
                  <c:v>78948</c:v>
                </c:pt>
                <c:pt idx="1">
                  <c:v>82771</c:v>
                </c:pt>
                <c:pt idx="2">
                  <c:v>80801</c:v>
                </c:pt>
                <c:pt idx="3">
                  <c:v>81529</c:v>
                </c:pt>
                <c:pt idx="4">
                  <c:v>108531</c:v>
                </c:pt>
                <c:pt idx="5">
                  <c:v>120292</c:v>
                </c:pt>
                <c:pt idx="6">
                  <c:v>125907</c:v>
                </c:pt>
                <c:pt idx="7">
                  <c:v>120646</c:v>
                </c:pt>
                <c:pt idx="8">
                  <c:v>141377</c:v>
                </c:pt>
                <c:pt idx="9">
                  <c:v>128457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610677632"/>
        <c:axId val="-212825920"/>
      </c:barChart>
      <c:catAx>
        <c:axId val="-61067763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="1">
                    <a:solidFill>
                      <a:sysClr val="windowText" lastClr="000000"/>
                    </a:solidFill>
                  </a:rPr>
                  <a:t>Fiscal Year</a:t>
                </a:r>
              </a:p>
            </c:rich>
          </c:tx>
          <c:layout>
            <c:manualLayout>
              <c:xMode val="edge"/>
              <c:yMode val="edge"/>
              <c:x val="0.52015726535887796"/>
              <c:y val="0.92867232948051204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12825920"/>
        <c:crosses val="autoZero"/>
        <c:auto val="1"/>
        <c:lblAlgn val="ctr"/>
        <c:lblOffset val="100"/>
        <c:noMultiLvlLbl val="0"/>
      </c:catAx>
      <c:valAx>
        <c:axId val="-21282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="1">
                    <a:solidFill>
                      <a:sysClr val="windowText" lastClr="000000"/>
                    </a:solidFill>
                  </a:rPr>
                  <a:t>Number </a:t>
                </a:r>
              </a:p>
            </c:rich>
          </c:tx>
          <c:layout>
            <c:manualLayout>
              <c:xMode val="edge"/>
              <c:yMode val="edge"/>
              <c:x val="3.3999234192006499E-3"/>
              <c:y val="0.346614823753157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610677632"/>
        <c:crosses val="autoZero"/>
        <c:crossBetween val="between"/>
      </c:valAx>
      <c:spPr>
        <a:noFill/>
        <a:ln>
          <a:solidFill>
            <a:schemeClr val="bg1">
              <a:lumMod val="50000"/>
            </a:schemeClr>
          </a:solidFill>
        </a:ln>
        <a:effectLst/>
      </c:spPr>
    </c:plotArea>
    <c:legend>
      <c:legendPos val="b"/>
      <c:layout>
        <c:manualLayout>
          <c:xMode val="edge"/>
          <c:yMode val="edge"/>
          <c:x val="0.34775130045352498"/>
          <c:y val="0.167898975762826"/>
          <c:w val="0.43458209103110301"/>
          <c:h val="7.00697022117758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>
                <a:latin typeface="+mn-lt"/>
                <a:cs typeface="Arial" panose="020B0604020202020204" pitchFamily="34" charset="0"/>
              </a:defRPr>
            </a:pPr>
            <a:r>
              <a:rPr lang="en-US"/>
              <a:t>GESDISC Multi-Year Product Distribution Trend</a:t>
            </a:r>
          </a:p>
        </c:rich>
      </c:tx>
      <c:layout>
        <c:manualLayout>
          <c:xMode val="edge"/>
          <c:yMode val="edge"/>
          <c:x val="0.219374642226661"/>
          <c:y val="4.287412256015359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3107657173634"/>
          <c:y val="0.18225294239347301"/>
          <c:w val="0.85726272307204099"/>
          <c:h val="0.6552930766861140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Summary_data!$G$20</c:f>
              <c:strCache>
                <c:ptCount val="1"/>
                <c:pt idx="0">
                  <c:v>GESDISC</c:v>
                </c:pt>
              </c:strCache>
            </c:strRef>
          </c:tx>
          <c:invertIfNegative val="0"/>
          <c:cat>
            <c:strRef>
              <c:f>Summary_data!$C$21:$C$30</c:f>
              <c:strCache>
                <c:ptCount val="10"/>
                <c:pt idx="0">
                  <c:v>FY07</c:v>
                </c:pt>
                <c:pt idx="1">
                  <c:v>FY08</c:v>
                </c:pt>
                <c:pt idx="2">
                  <c:v>FY09</c:v>
                </c:pt>
                <c:pt idx="3">
                  <c:v>FY10</c:v>
                </c:pt>
                <c:pt idx="4">
                  <c:v>FY11</c:v>
                </c:pt>
                <c:pt idx="5">
                  <c:v>FY12</c:v>
                </c:pt>
                <c:pt idx="6">
                  <c:v>FY13</c:v>
                </c:pt>
                <c:pt idx="7">
                  <c:v>FY14</c:v>
                </c:pt>
                <c:pt idx="8">
                  <c:v>FY15</c:v>
                </c:pt>
                <c:pt idx="9">
                  <c:v>FY16</c:v>
                </c:pt>
              </c:strCache>
            </c:strRef>
          </c:cat>
          <c:val>
            <c:numRef>
              <c:f>Summary_data!$G$21:$G$30</c:f>
              <c:numCache>
                <c:formatCode>_(* #,##0.0_);_(* \(#,##0.0\);_(* "-"??_);_(@_)</c:formatCode>
                <c:ptCount val="10"/>
                <c:pt idx="0">
                  <c:v>22.917339999999999</c:v>
                </c:pt>
                <c:pt idx="1">
                  <c:v>38.747579999999999</c:v>
                </c:pt>
                <c:pt idx="2">
                  <c:v>54.500664</c:v>
                </c:pt>
                <c:pt idx="3">
                  <c:v>84.223157999999998</c:v>
                </c:pt>
                <c:pt idx="4">
                  <c:v>133.841386</c:v>
                </c:pt>
                <c:pt idx="5">
                  <c:v>168.67674700000001</c:v>
                </c:pt>
                <c:pt idx="6">
                  <c:v>209.906859</c:v>
                </c:pt>
                <c:pt idx="7">
                  <c:v>283.25595800000002</c:v>
                </c:pt>
                <c:pt idx="8">
                  <c:v>405.060654</c:v>
                </c:pt>
                <c:pt idx="9">
                  <c:v>409.16399200000001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12829184"/>
        <c:axId val="-212825376"/>
      </c:barChart>
      <c:catAx>
        <c:axId val="-2128291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Fiscal Year</a:t>
                </a:r>
              </a:p>
            </c:rich>
          </c:tx>
          <c:layout>
            <c:manualLayout>
              <c:xMode val="edge"/>
              <c:yMode val="edge"/>
              <c:x val="0.51269424232162897"/>
              <c:y val="0.91856945601153805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 b="0" baseline="0">
                <a:latin typeface="+mn-lt"/>
                <a:cs typeface="Arial" panose="020B0604020202020204" pitchFamily="34" charset="0"/>
              </a:defRPr>
            </a:pPr>
            <a:endParaRPr lang="en-US"/>
          </a:p>
        </c:txPr>
        <c:crossAx val="-212825376"/>
        <c:crosses val="autoZero"/>
        <c:auto val="1"/>
        <c:lblAlgn val="ctr"/>
        <c:lblOffset val="100"/>
        <c:noMultiLvlLbl val="0"/>
      </c:catAx>
      <c:valAx>
        <c:axId val="-21282537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Product Distributed (Millions)</a:t>
                </a:r>
              </a:p>
            </c:rich>
          </c:tx>
          <c:layout>
            <c:manualLayout>
              <c:xMode val="edge"/>
              <c:yMode val="edge"/>
              <c:x val="1.6285028493567399E-2"/>
              <c:y val="0.17328868888728299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1200">
                <a:latin typeface="+mn-lt"/>
                <a:cs typeface="Arial" panose="020B0604020202020204" pitchFamily="34" charset="0"/>
              </a:defRPr>
            </a:pPr>
            <a:endParaRPr lang="en-US"/>
          </a:p>
        </c:txPr>
        <c:crossAx val="-212829184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0000000000004" l="0.70000000000000095" r="0.70000000000000095" t="0.750000000000004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>
                <a:latin typeface="+mn-lt"/>
                <a:cs typeface="Arial" panose="020B0604020202020204" pitchFamily="34" charset="0"/>
              </a:defRPr>
            </a:pPr>
            <a:r>
              <a:rPr lang="en-US"/>
              <a:t>GHRC Multi-Year Total Archive Volume Trend</a:t>
            </a:r>
          </a:p>
        </c:rich>
      </c:tx>
      <c:layout>
        <c:manualLayout>
          <c:xMode val="edge"/>
          <c:yMode val="edge"/>
          <c:x val="0.223544133657093"/>
          <c:y val="3.841216417989099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56188786714438"/>
          <c:y val="0.18228668594254499"/>
          <c:w val="0.80487043883359"/>
          <c:h val="0.6507674633483110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data!$F$156</c:f>
              <c:strCache>
                <c:ptCount val="1"/>
                <c:pt idx="0">
                  <c:v>GHRC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invertIfNegative val="0"/>
          <c:cat>
            <c:strRef>
              <c:f>data!$A$157:$A$165</c:f>
              <c:strCache>
                <c:ptCount val="9"/>
                <c:pt idx="0">
                  <c:v>FY08</c:v>
                </c:pt>
                <c:pt idx="1">
                  <c:v>FY09</c:v>
                </c:pt>
                <c:pt idx="2">
                  <c:v>FY10</c:v>
                </c:pt>
                <c:pt idx="3">
                  <c:v>FY11</c:v>
                </c:pt>
                <c:pt idx="4">
                  <c:v>FY12</c:v>
                </c:pt>
                <c:pt idx="5">
                  <c:v>FY13</c:v>
                </c:pt>
                <c:pt idx="6">
                  <c:v>FY14</c:v>
                </c:pt>
                <c:pt idx="7">
                  <c:v>FY15</c:v>
                </c:pt>
                <c:pt idx="8">
                  <c:v>FY16</c:v>
                </c:pt>
              </c:strCache>
            </c:strRef>
          </c:cat>
          <c:val>
            <c:numRef>
              <c:f>data!$F$157:$F$165</c:f>
              <c:numCache>
                <c:formatCode>_(* #,##0.00_);_(* \(#,##0.00\);_(* "-"??_);_(@_)</c:formatCode>
                <c:ptCount val="9"/>
                <c:pt idx="0">
                  <c:v>3.435041015625</c:v>
                </c:pt>
                <c:pt idx="1">
                  <c:v>5.3330000000000002</c:v>
                </c:pt>
                <c:pt idx="2">
                  <c:v>6.8242343749999996</c:v>
                </c:pt>
                <c:pt idx="3">
                  <c:v>6.4231972656250003</c:v>
                </c:pt>
                <c:pt idx="4">
                  <c:v>7.0876269531249996</c:v>
                </c:pt>
                <c:pt idx="5">
                  <c:v>9.5370605468750007</c:v>
                </c:pt>
                <c:pt idx="6">
                  <c:v>8.8079055354310096</c:v>
                </c:pt>
                <c:pt idx="7">
                  <c:v>9.8950976562499999</c:v>
                </c:pt>
                <c:pt idx="8">
                  <c:v>13.584150390625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658071168"/>
        <c:axId val="-658065184"/>
      </c:barChart>
      <c:catAx>
        <c:axId val="-6580711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Fiscal Year</a:t>
                </a:r>
              </a:p>
            </c:rich>
          </c:tx>
          <c:layout>
            <c:manualLayout>
              <c:xMode val="edge"/>
              <c:yMode val="edge"/>
              <c:x val="0.49999567596515698"/>
              <c:y val="0.91411120752953801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 b="0" baseline="0">
                <a:latin typeface="+mn-lt"/>
                <a:cs typeface="Arial" panose="020B0604020202020204" pitchFamily="34" charset="0"/>
              </a:defRPr>
            </a:pPr>
            <a:endParaRPr lang="en-US"/>
          </a:p>
        </c:txPr>
        <c:crossAx val="-658065184"/>
        <c:crosses val="autoZero"/>
        <c:auto val="1"/>
        <c:lblAlgn val="ctr"/>
        <c:lblOffset val="100"/>
        <c:noMultiLvlLbl val="0"/>
      </c:catAx>
      <c:valAx>
        <c:axId val="-65806518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Volume (TB)</a:t>
                </a:r>
              </a:p>
            </c:rich>
          </c:tx>
          <c:layout>
            <c:manualLayout>
              <c:xMode val="edge"/>
              <c:yMode val="edge"/>
              <c:x val="1.62849872773537E-2"/>
              <c:y val="0.34790157257870402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1200">
                <a:latin typeface="+mn-lt"/>
                <a:cs typeface="Arial" panose="020B0604020202020204" pitchFamily="34" charset="0"/>
              </a:defRPr>
            </a:pPr>
            <a:endParaRPr lang="en-US"/>
          </a:p>
        </c:txPr>
        <c:crossAx val="-658071168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0000000000004" l="0.70000000000000095" r="0.70000000000000095" t="0.750000000000004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053775900532262"/>
          <c:y val="0.14901943669040921"/>
          <c:w val="0.86070507843748301"/>
          <c:h val="0.68891197860574704"/>
        </c:manualLayout>
      </c:layout>
      <c:lineChart>
        <c:grouping val="standard"/>
        <c:varyColors val="0"/>
        <c:ser>
          <c:idx val="0"/>
          <c:order val="0"/>
          <c:tx>
            <c:strRef>
              <c:f>data!$F$168</c:f>
              <c:strCache>
                <c:ptCount val="1"/>
                <c:pt idx="0">
                  <c:v>GHRC</c:v>
                </c:pt>
              </c:strCache>
            </c:strRef>
          </c:tx>
          <c:marker>
            <c:symbol val="none"/>
          </c:marker>
          <c:cat>
            <c:strRef>
              <c:f>data!$A$169:$A$177</c:f>
              <c:strCache>
                <c:ptCount val="9"/>
                <c:pt idx="0">
                  <c:v>FY08</c:v>
                </c:pt>
                <c:pt idx="1">
                  <c:v>FY09</c:v>
                </c:pt>
                <c:pt idx="2">
                  <c:v>FY10</c:v>
                </c:pt>
                <c:pt idx="3">
                  <c:v>FY11</c:v>
                </c:pt>
                <c:pt idx="4">
                  <c:v>FY12</c:v>
                </c:pt>
                <c:pt idx="5">
                  <c:v>FY13</c:v>
                </c:pt>
                <c:pt idx="6">
                  <c:v>FY14</c:v>
                </c:pt>
                <c:pt idx="7">
                  <c:v>FY15</c:v>
                </c:pt>
                <c:pt idx="8">
                  <c:v>FY16</c:v>
                </c:pt>
              </c:strCache>
            </c:strRef>
          </c:cat>
          <c:val>
            <c:numRef>
              <c:f>data!$F$169:$F$177</c:f>
              <c:numCache>
                <c:formatCode>0.0%</c:formatCode>
                <c:ptCount val="9"/>
                <c:pt idx="1">
                  <c:v>0.15365489806066635</c:v>
                </c:pt>
                <c:pt idx="2">
                  <c:v>0.1547310900201323</c:v>
                </c:pt>
                <c:pt idx="3">
                  <c:v>0.18175937904269082</c:v>
                </c:pt>
                <c:pt idx="4">
                  <c:v>0.18018433179723503</c:v>
                </c:pt>
                <c:pt idx="5">
                  <c:v>0.20057361376673041</c:v>
                </c:pt>
                <c:pt idx="6">
                  <c:v>0.21420784883720931</c:v>
                </c:pt>
                <c:pt idx="7">
                  <c:v>0.19592668024439919</c:v>
                </c:pt>
                <c:pt idx="8">
                  <c:v>0.19592668024439919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577669568"/>
        <c:axId val="-1588927792"/>
      </c:lineChart>
      <c:catAx>
        <c:axId val="-5776695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Fiscal Year</a:t>
                </a:r>
              </a:p>
            </c:rich>
          </c:tx>
          <c:layout>
            <c:manualLayout>
              <c:xMode val="edge"/>
              <c:yMode val="edge"/>
              <c:x val="0.48422756091902203"/>
              <c:y val="0.91945592070692705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 b="0" baseline="0">
                <a:latin typeface="+mn-lt"/>
                <a:cs typeface="Arial" panose="020B0604020202020204" pitchFamily="34" charset="0"/>
              </a:defRPr>
            </a:pPr>
            <a:endParaRPr lang="en-US"/>
          </a:p>
        </c:txPr>
        <c:crossAx val="-1588927792"/>
        <c:crosses val="autoZero"/>
        <c:auto val="1"/>
        <c:lblAlgn val="ctr"/>
        <c:lblOffset val="100"/>
        <c:noMultiLvlLbl val="0"/>
      </c:catAx>
      <c:valAx>
        <c:axId val="-158892779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Percentage</a:t>
                </a:r>
              </a:p>
            </c:rich>
          </c:tx>
          <c:layout>
            <c:manualLayout>
              <c:xMode val="edge"/>
              <c:yMode val="edge"/>
              <c:x val="4.8473441747445998E-3"/>
              <c:y val="0.36539536980201598"/>
            </c:manualLayout>
          </c:layout>
          <c:overlay val="0"/>
        </c:title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sz="1200">
                <a:solidFill>
                  <a:sysClr val="windowText" lastClr="000000"/>
                </a:solidFill>
                <a:latin typeface="+mn-lt"/>
                <a:cs typeface="Arial" panose="020B0604020202020204" pitchFamily="34" charset="0"/>
              </a:defRPr>
            </a:pPr>
            <a:endParaRPr lang="en-US"/>
          </a:p>
        </c:txPr>
        <c:crossAx val="-577669568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0000000000004" l="0.70000000000000095" r="0.70000000000000095" t="0.750000000000004" header="0.3" footer="0.3"/>
    <c:pageSetup/>
  </c:printSettings>
  <c:userShapes r:id="rId1"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44377647232707"/>
          <c:y val="0.143607581541664"/>
          <c:w val="0.80852879025372704"/>
          <c:h val="0.7057685758279259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data!$N$233</c:f>
              <c:strCache>
                <c:ptCount val="1"/>
                <c:pt idx="0">
                  <c:v>VISITS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data!$A$234:$A$243</c:f>
              <c:strCache>
                <c:ptCount val="10"/>
                <c:pt idx="0">
                  <c:v>FY07</c:v>
                </c:pt>
                <c:pt idx="1">
                  <c:v>FY08</c:v>
                </c:pt>
                <c:pt idx="2">
                  <c:v>FY09</c:v>
                </c:pt>
                <c:pt idx="3">
                  <c:v>FY10</c:v>
                </c:pt>
                <c:pt idx="4">
                  <c:v>FY11</c:v>
                </c:pt>
                <c:pt idx="5">
                  <c:v>FY12</c:v>
                </c:pt>
                <c:pt idx="6">
                  <c:v>FY13</c:v>
                </c:pt>
                <c:pt idx="7">
                  <c:v>FY14</c:v>
                </c:pt>
                <c:pt idx="8">
                  <c:v>FY15</c:v>
                </c:pt>
                <c:pt idx="9">
                  <c:v>FY16</c:v>
                </c:pt>
              </c:strCache>
            </c:strRef>
          </c:cat>
          <c:val>
            <c:numRef>
              <c:f>data!$N$234:$N$243</c:f>
              <c:numCache>
                <c:formatCode>General</c:formatCode>
                <c:ptCount val="10"/>
                <c:pt idx="2">
                  <c:v>3563</c:v>
                </c:pt>
                <c:pt idx="3">
                  <c:v>5044</c:v>
                </c:pt>
                <c:pt idx="4">
                  <c:v>4566</c:v>
                </c:pt>
                <c:pt idx="5">
                  <c:v>6236</c:v>
                </c:pt>
                <c:pt idx="6">
                  <c:v>7576</c:v>
                </c:pt>
                <c:pt idx="7">
                  <c:v>8071</c:v>
                </c:pt>
                <c:pt idx="8">
                  <c:v>10494</c:v>
                </c:pt>
                <c:pt idx="9">
                  <c:v>17347</c:v>
                </c:pt>
              </c:numCache>
            </c:numRef>
          </c:val>
        </c:ser>
        <c:ser>
          <c:idx val="1"/>
          <c:order val="1"/>
          <c:tx>
            <c:strRef>
              <c:f>data!$O$233</c:f>
              <c:strCache>
                <c:ptCount val="1"/>
                <c:pt idx="0">
                  <c:v>VIEWS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data!$A$234:$A$243</c:f>
              <c:strCache>
                <c:ptCount val="10"/>
                <c:pt idx="0">
                  <c:v>FY07</c:v>
                </c:pt>
                <c:pt idx="1">
                  <c:v>FY08</c:v>
                </c:pt>
                <c:pt idx="2">
                  <c:v>FY09</c:v>
                </c:pt>
                <c:pt idx="3">
                  <c:v>FY10</c:v>
                </c:pt>
                <c:pt idx="4">
                  <c:v>FY11</c:v>
                </c:pt>
                <c:pt idx="5">
                  <c:v>FY12</c:v>
                </c:pt>
                <c:pt idx="6">
                  <c:v>FY13</c:v>
                </c:pt>
                <c:pt idx="7">
                  <c:v>FY14</c:v>
                </c:pt>
                <c:pt idx="8">
                  <c:v>FY15</c:v>
                </c:pt>
                <c:pt idx="9">
                  <c:v>FY16</c:v>
                </c:pt>
              </c:strCache>
            </c:strRef>
          </c:cat>
          <c:val>
            <c:numRef>
              <c:f>data!$O$234:$O$243</c:f>
              <c:numCache>
                <c:formatCode>General</c:formatCode>
                <c:ptCount val="10"/>
                <c:pt idx="2">
                  <c:v>25293</c:v>
                </c:pt>
                <c:pt idx="3">
                  <c:v>37090</c:v>
                </c:pt>
                <c:pt idx="4">
                  <c:v>143683</c:v>
                </c:pt>
                <c:pt idx="5">
                  <c:v>50572</c:v>
                </c:pt>
                <c:pt idx="6">
                  <c:v>62644</c:v>
                </c:pt>
                <c:pt idx="7">
                  <c:v>70567</c:v>
                </c:pt>
                <c:pt idx="8">
                  <c:v>102909</c:v>
                </c:pt>
                <c:pt idx="9">
                  <c:v>140576</c:v>
                </c:pt>
              </c:numCache>
            </c:numRef>
          </c:val>
        </c:ser>
        <c:ser>
          <c:idx val="2"/>
          <c:order val="2"/>
          <c:tx>
            <c:strRef>
              <c:f>data!$P$233</c:f>
              <c:strCache>
                <c:ptCount val="1"/>
                <c:pt idx="0">
                  <c:v>VISITORS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data!$A$234:$A$243</c:f>
              <c:strCache>
                <c:ptCount val="10"/>
                <c:pt idx="0">
                  <c:v>FY07</c:v>
                </c:pt>
                <c:pt idx="1">
                  <c:v>FY08</c:v>
                </c:pt>
                <c:pt idx="2">
                  <c:v>FY09</c:v>
                </c:pt>
                <c:pt idx="3">
                  <c:v>FY10</c:v>
                </c:pt>
                <c:pt idx="4">
                  <c:v>FY11</c:v>
                </c:pt>
                <c:pt idx="5">
                  <c:v>FY12</c:v>
                </c:pt>
                <c:pt idx="6">
                  <c:v>FY13</c:v>
                </c:pt>
                <c:pt idx="7">
                  <c:v>FY14</c:v>
                </c:pt>
                <c:pt idx="8">
                  <c:v>FY15</c:v>
                </c:pt>
                <c:pt idx="9">
                  <c:v>FY16</c:v>
                </c:pt>
              </c:strCache>
            </c:strRef>
          </c:cat>
          <c:val>
            <c:numRef>
              <c:f>data!$P$234:$P$243</c:f>
              <c:numCache>
                <c:formatCode>General</c:formatCode>
                <c:ptCount val="10"/>
                <c:pt idx="2">
                  <c:v>2011</c:v>
                </c:pt>
                <c:pt idx="3">
                  <c:v>3477</c:v>
                </c:pt>
                <c:pt idx="4">
                  <c:v>3092</c:v>
                </c:pt>
                <c:pt idx="5">
                  <c:v>4606</c:v>
                </c:pt>
                <c:pt idx="6">
                  <c:v>5560</c:v>
                </c:pt>
                <c:pt idx="7">
                  <c:v>5858</c:v>
                </c:pt>
                <c:pt idx="8">
                  <c:v>7365</c:v>
                </c:pt>
                <c:pt idx="9">
                  <c:v>12048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1588901136"/>
        <c:axId val="-1588919088"/>
      </c:barChart>
      <c:catAx>
        <c:axId val="-15889011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="1">
                    <a:solidFill>
                      <a:sysClr val="windowText" lastClr="000000"/>
                    </a:solidFill>
                  </a:rPr>
                  <a:t>Fiscal Year</a:t>
                </a:r>
              </a:p>
            </c:rich>
          </c:tx>
          <c:layout>
            <c:manualLayout>
              <c:xMode val="edge"/>
              <c:yMode val="edge"/>
              <c:x val="0.509977849088459"/>
              <c:y val="0.92110471351425172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588919088"/>
        <c:crosses val="autoZero"/>
        <c:auto val="1"/>
        <c:lblAlgn val="ctr"/>
        <c:lblOffset val="100"/>
        <c:noMultiLvlLbl val="0"/>
      </c:catAx>
      <c:valAx>
        <c:axId val="-1588919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="1">
                    <a:solidFill>
                      <a:sysClr val="windowText" lastClr="000000"/>
                    </a:solidFill>
                  </a:rPr>
                  <a:t>Number </a:t>
                </a:r>
              </a:p>
            </c:rich>
          </c:tx>
          <c:layout>
            <c:manualLayout>
              <c:xMode val="edge"/>
              <c:yMode val="edge"/>
              <c:x val="3.3999234192006499E-3"/>
              <c:y val="0.346614823753157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588901136"/>
        <c:crosses val="autoZero"/>
        <c:crossBetween val="between"/>
      </c:valAx>
      <c:spPr>
        <a:noFill/>
        <a:ln>
          <a:solidFill>
            <a:schemeClr val="bg1">
              <a:lumMod val="50000"/>
            </a:schemeClr>
          </a:solidFill>
        </a:ln>
        <a:effectLst/>
      </c:spPr>
    </c:plotArea>
    <c:legend>
      <c:legendPos val="b"/>
      <c:layout>
        <c:manualLayout>
          <c:xMode val="edge"/>
          <c:yMode val="edge"/>
          <c:x val="0.50155463554873436"/>
          <c:y val="0.15908123798250792"/>
          <c:w val="0.43458209103110301"/>
          <c:h val="7.00697022117758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8982927746641"/>
          <c:y val="0.14901950216041901"/>
          <c:w val="0.85018015139071501"/>
          <c:h val="0.68891197860574704"/>
        </c:manualLayout>
      </c:layout>
      <c:lineChart>
        <c:grouping val="standard"/>
        <c:varyColors val="0"/>
        <c:ser>
          <c:idx val="0"/>
          <c:order val="0"/>
          <c:tx>
            <c:strRef>
              <c:f>data!$B$168</c:f>
              <c:strCache>
                <c:ptCount val="1"/>
                <c:pt idx="0">
                  <c:v>ASDC</c:v>
                </c:pt>
              </c:strCache>
            </c:strRef>
          </c:tx>
          <c:marker>
            <c:symbol val="none"/>
          </c:marker>
          <c:cat>
            <c:strRef>
              <c:f>data!$A$169:$A$177</c:f>
              <c:strCache>
                <c:ptCount val="9"/>
                <c:pt idx="0">
                  <c:v>FY08</c:v>
                </c:pt>
                <c:pt idx="1">
                  <c:v>FY09</c:v>
                </c:pt>
                <c:pt idx="2">
                  <c:v>FY10</c:v>
                </c:pt>
                <c:pt idx="3">
                  <c:v>FY11</c:v>
                </c:pt>
                <c:pt idx="4">
                  <c:v>FY12</c:v>
                </c:pt>
                <c:pt idx="5">
                  <c:v>FY13</c:v>
                </c:pt>
                <c:pt idx="6">
                  <c:v>FY14</c:v>
                </c:pt>
                <c:pt idx="7">
                  <c:v>FY15</c:v>
                </c:pt>
                <c:pt idx="8">
                  <c:v>FY16</c:v>
                </c:pt>
              </c:strCache>
            </c:strRef>
          </c:cat>
          <c:val>
            <c:numRef>
              <c:f>data!$B$169:$B$177</c:f>
              <c:numCache>
                <c:formatCode>0.0%</c:formatCode>
                <c:ptCount val="9"/>
                <c:pt idx="0">
                  <c:v>2.6576141684055352E-3</c:v>
                </c:pt>
                <c:pt idx="1">
                  <c:v>3.0116919157454165E-3</c:v>
                </c:pt>
                <c:pt idx="2">
                  <c:v>4.2365347001569369E-3</c:v>
                </c:pt>
                <c:pt idx="3">
                  <c:v>1.804059133049361E-3</c:v>
                </c:pt>
                <c:pt idx="4">
                  <c:v>5.3350104639941012E-3</c:v>
                </c:pt>
                <c:pt idx="5">
                  <c:v>7.2200100691107143E-3</c:v>
                </c:pt>
                <c:pt idx="6">
                  <c:v>1.308025876164072E-2</c:v>
                </c:pt>
                <c:pt idx="7">
                  <c:v>9.3063551506343978E-3</c:v>
                </c:pt>
                <c:pt idx="8">
                  <c:v>9.3063551506343978E-3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81016992"/>
        <c:axId val="-181037120"/>
      </c:lineChart>
      <c:catAx>
        <c:axId val="-1810169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Fiscal Year</a:t>
                </a:r>
              </a:p>
            </c:rich>
          </c:tx>
          <c:layout>
            <c:manualLayout>
              <c:xMode val="edge"/>
              <c:yMode val="edge"/>
              <c:x val="0.48422756091902203"/>
              <c:y val="0.91945592070692705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 b="0" baseline="0">
                <a:latin typeface="+mn-lt"/>
                <a:cs typeface="Arial" panose="020B0604020202020204" pitchFamily="34" charset="0"/>
              </a:defRPr>
            </a:pPr>
            <a:endParaRPr lang="en-US"/>
          </a:p>
        </c:txPr>
        <c:crossAx val="-181037120"/>
        <c:crosses val="autoZero"/>
        <c:auto val="1"/>
        <c:lblAlgn val="ctr"/>
        <c:lblOffset val="100"/>
        <c:noMultiLvlLbl val="0"/>
      </c:catAx>
      <c:valAx>
        <c:axId val="-18103712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Percentage</a:t>
                </a:r>
              </a:p>
            </c:rich>
          </c:tx>
          <c:layout>
            <c:manualLayout>
              <c:xMode val="edge"/>
              <c:yMode val="edge"/>
              <c:x val="4.8473441747445998E-3"/>
              <c:y val="0.36539536980201598"/>
            </c:manualLayout>
          </c:layout>
          <c:overlay val="0"/>
        </c:title>
        <c:numFmt formatCode="0.0%" sourceLinked="0"/>
        <c:majorTickMark val="out"/>
        <c:minorTickMark val="none"/>
        <c:tickLblPos val="nextTo"/>
        <c:txPr>
          <a:bodyPr/>
          <a:lstStyle/>
          <a:p>
            <a:pPr>
              <a:defRPr sz="1200">
                <a:solidFill>
                  <a:sysClr val="windowText" lastClr="000000"/>
                </a:solidFill>
                <a:latin typeface="+mn-lt"/>
                <a:cs typeface="Arial" panose="020B0604020202020204" pitchFamily="34" charset="0"/>
              </a:defRPr>
            </a:pPr>
            <a:endParaRPr lang="en-US"/>
          </a:p>
        </c:txPr>
        <c:crossAx val="-181016992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0000000000004" l="0.70000000000000095" r="0.70000000000000095" t="0.750000000000004" header="0.3" footer="0.3"/>
    <c:pageSetup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>
                <a:latin typeface="+mn-lt"/>
                <a:cs typeface="Arial" panose="020B0604020202020204" pitchFamily="34" charset="0"/>
              </a:defRPr>
            </a:pPr>
            <a:r>
              <a:rPr lang="en-US"/>
              <a:t>GHRC Multi-Year Product Distribution Trend</a:t>
            </a:r>
          </a:p>
        </c:rich>
      </c:tx>
      <c:layout>
        <c:manualLayout>
          <c:xMode val="edge"/>
          <c:yMode val="edge"/>
          <c:x val="0.219374642226661"/>
          <c:y val="4.287412256015359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3107657173634"/>
          <c:y val="0.18225294239347301"/>
          <c:w val="0.85726272307204099"/>
          <c:h val="0.6552930766861140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Summary_data!$H$20</c:f>
              <c:strCache>
                <c:ptCount val="1"/>
                <c:pt idx="0">
                  <c:v>GHRC</c:v>
                </c:pt>
              </c:strCache>
            </c:strRef>
          </c:tx>
          <c:invertIfNegative val="0"/>
          <c:cat>
            <c:strRef>
              <c:f>Summary_data!$C$21:$C$30</c:f>
              <c:strCache>
                <c:ptCount val="10"/>
                <c:pt idx="0">
                  <c:v>FY07</c:v>
                </c:pt>
                <c:pt idx="1">
                  <c:v>FY08</c:v>
                </c:pt>
                <c:pt idx="2">
                  <c:v>FY09</c:v>
                </c:pt>
                <c:pt idx="3">
                  <c:v>FY10</c:v>
                </c:pt>
                <c:pt idx="4">
                  <c:v>FY11</c:v>
                </c:pt>
                <c:pt idx="5">
                  <c:v>FY12</c:v>
                </c:pt>
                <c:pt idx="6">
                  <c:v>FY13</c:v>
                </c:pt>
                <c:pt idx="7">
                  <c:v>FY14</c:v>
                </c:pt>
                <c:pt idx="8">
                  <c:v>FY15</c:v>
                </c:pt>
                <c:pt idx="9">
                  <c:v>FY16</c:v>
                </c:pt>
              </c:strCache>
            </c:strRef>
          </c:cat>
          <c:val>
            <c:numRef>
              <c:f>Summary_data!$H$21:$H$30</c:f>
              <c:numCache>
                <c:formatCode>_(* #,##0.0_);_(* \(#,##0.0\);_(* "-"??_);_(@_)</c:formatCode>
                <c:ptCount val="10"/>
                <c:pt idx="0">
                  <c:v>0</c:v>
                </c:pt>
                <c:pt idx="1">
                  <c:v>10.177527</c:v>
                </c:pt>
                <c:pt idx="2">
                  <c:v>5.6774750000000003</c:v>
                </c:pt>
                <c:pt idx="3">
                  <c:v>0.65940500000000002</c:v>
                </c:pt>
                <c:pt idx="4">
                  <c:v>0.72013300000000002</c:v>
                </c:pt>
                <c:pt idx="5">
                  <c:v>0.79108500000000004</c:v>
                </c:pt>
                <c:pt idx="6">
                  <c:v>4.4349480000000003</c:v>
                </c:pt>
                <c:pt idx="7">
                  <c:v>4.4983519999999997</c:v>
                </c:pt>
                <c:pt idx="8">
                  <c:v>6.3843249999999996</c:v>
                </c:pt>
                <c:pt idx="9">
                  <c:v>3.9329890000000001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588906032"/>
        <c:axId val="-1588908208"/>
      </c:barChart>
      <c:catAx>
        <c:axId val="-15889060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Fiscal Year</a:t>
                </a:r>
              </a:p>
            </c:rich>
          </c:tx>
          <c:layout>
            <c:manualLayout>
              <c:xMode val="edge"/>
              <c:yMode val="edge"/>
              <c:x val="0.51269424232162897"/>
              <c:y val="0.91856945601153805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 b="0" baseline="0">
                <a:latin typeface="+mn-lt"/>
                <a:cs typeface="Arial" panose="020B0604020202020204" pitchFamily="34" charset="0"/>
              </a:defRPr>
            </a:pPr>
            <a:endParaRPr lang="en-US"/>
          </a:p>
        </c:txPr>
        <c:crossAx val="-1588908208"/>
        <c:crosses val="autoZero"/>
        <c:auto val="1"/>
        <c:lblAlgn val="ctr"/>
        <c:lblOffset val="100"/>
        <c:noMultiLvlLbl val="0"/>
      </c:catAx>
      <c:valAx>
        <c:axId val="-15889082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Product Distributed (Millions)</a:t>
                </a:r>
              </a:p>
            </c:rich>
          </c:tx>
          <c:layout>
            <c:manualLayout>
              <c:xMode val="edge"/>
              <c:yMode val="edge"/>
              <c:x val="1.6285028493567399E-2"/>
              <c:y val="0.17328868888728299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1200">
                <a:latin typeface="+mn-lt"/>
                <a:cs typeface="Arial" panose="020B0604020202020204" pitchFamily="34" charset="0"/>
              </a:defRPr>
            </a:pPr>
            <a:endParaRPr lang="en-US"/>
          </a:p>
        </c:txPr>
        <c:crossAx val="-1588906032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0000000000004" l="0.70000000000000095" r="0.70000000000000095" t="0.750000000000004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>
                <a:latin typeface="+mn-lt"/>
                <a:cs typeface="Arial" panose="020B0604020202020204" pitchFamily="34" charset="0"/>
              </a:defRPr>
            </a:pPr>
            <a:r>
              <a:rPr lang="en-US"/>
              <a:t>LPDAAC Multi-Year Total Archive Volume Trend</a:t>
            </a:r>
          </a:p>
        </c:rich>
      </c:tx>
      <c:layout>
        <c:manualLayout>
          <c:xMode val="edge"/>
          <c:yMode val="edge"/>
          <c:x val="0.223544133657093"/>
          <c:y val="3.841216417989099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56188786714438"/>
          <c:y val="0.18228668594254499"/>
          <c:w val="0.80487043883359"/>
          <c:h val="0.6507674633483110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data!$G$156</c:f>
              <c:strCache>
                <c:ptCount val="1"/>
                <c:pt idx="0">
                  <c:v>LP DAAC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invertIfNegative val="0"/>
          <c:cat>
            <c:strRef>
              <c:f>data!$A$157:$A$165</c:f>
              <c:strCache>
                <c:ptCount val="9"/>
                <c:pt idx="0">
                  <c:v>FY08</c:v>
                </c:pt>
                <c:pt idx="1">
                  <c:v>FY09</c:v>
                </c:pt>
                <c:pt idx="2">
                  <c:v>FY10</c:v>
                </c:pt>
                <c:pt idx="3">
                  <c:v>FY11</c:v>
                </c:pt>
                <c:pt idx="4">
                  <c:v>FY12</c:v>
                </c:pt>
                <c:pt idx="5">
                  <c:v>FY13</c:v>
                </c:pt>
                <c:pt idx="6">
                  <c:v>FY14</c:v>
                </c:pt>
                <c:pt idx="7">
                  <c:v>FY15</c:v>
                </c:pt>
                <c:pt idx="8">
                  <c:v>FY16</c:v>
                </c:pt>
              </c:strCache>
            </c:strRef>
          </c:cat>
          <c:val>
            <c:numRef>
              <c:f>data!$G$157:$G$165</c:f>
              <c:numCache>
                <c:formatCode>_(* #,##0.00_);_(* \(#,##0.00\);_(* "-"??_);_(@_)</c:formatCode>
                <c:ptCount val="9"/>
                <c:pt idx="0">
                  <c:v>1761.525625</c:v>
                </c:pt>
                <c:pt idx="1">
                  <c:v>759.51099999999997</c:v>
                </c:pt>
                <c:pt idx="2">
                  <c:v>822.25268164062504</c:v>
                </c:pt>
                <c:pt idx="3">
                  <c:v>898.95026074218754</c:v>
                </c:pt>
                <c:pt idx="4">
                  <c:v>954.17966796874998</c:v>
                </c:pt>
                <c:pt idx="5">
                  <c:v>1066.3169921875001</c:v>
                </c:pt>
                <c:pt idx="6">
                  <c:v>1131.1058336851804</c:v>
                </c:pt>
                <c:pt idx="7">
                  <c:v>2468.4033984375001</c:v>
                </c:pt>
                <c:pt idx="8">
                  <c:v>2933.262939453125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588919632"/>
        <c:axId val="-1588903856"/>
      </c:barChart>
      <c:catAx>
        <c:axId val="-15889196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Fiscal Year</a:t>
                </a:r>
              </a:p>
            </c:rich>
          </c:tx>
          <c:layout>
            <c:manualLayout>
              <c:xMode val="edge"/>
              <c:yMode val="edge"/>
              <c:x val="0.49999567596515698"/>
              <c:y val="0.91411120752953801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 b="0" baseline="0">
                <a:latin typeface="+mn-lt"/>
                <a:cs typeface="Arial" panose="020B0604020202020204" pitchFamily="34" charset="0"/>
              </a:defRPr>
            </a:pPr>
            <a:endParaRPr lang="en-US"/>
          </a:p>
        </c:txPr>
        <c:crossAx val="-1588903856"/>
        <c:crosses val="autoZero"/>
        <c:auto val="1"/>
        <c:lblAlgn val="ctr"/>
        <c:lblOffset val="100"/>
        <c:noMultiLvlLbl val="0"/>
      </c:catAx>
      <c:valAx>
        <c:axId val="-158890385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Volume (TB)</a:t>
                </a:r>
              </a:p>
            </c:rich>
          </c:tx>
          <c:layout>
            <c:manualLayout>
              <c:xMode val="edge"/>
              <c:yMode val="edge"/>
              <c:x val="1.62849872773537E-2"/>
              <c:y val="0.34790157257870402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1200">
                <a:latin typeface="+mn-lt"/>
                <a:cs typeface="Arial" panose="020B0604020202020204" pitchFamily="34" charset="0"/>
              </a:defRPr>
            </a:pPr>
            <a:endParaRPr lang="en-US"/>
          </a:p>
        </c:txPr>
        <c:crossAx val="-1588919632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0000000000004" l="0.70000000000000095" r="0.70000000000000095" t="0.750000000000004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969718055696397"/>
          <c:y val="0.14901950216041901"/>
          <c:w val="0.839465925789318"/>
          <c:h val="0.68891197860574704"/>
        </c:manualLayout>
      </c:layout>
      <c:lineChart>
        <c:grouping val="standard"/>
        <c:varyColors val="0"/>
        <c:ser>
          <c:idx val="0"/>
          <c:order val="0"/>
          <c:tx>
            <c:strRef>
              <c:f>data!$G$168</c:f>
              <c:strCache>
                <c:ptCount val="1"/>
                <c:pt idx="0">
                  <c:v>LP DAAC</c:v>
                </c:pt>
              </c:strCache>
            </c:strRef>
          </c:tx>
          <c:marker>
            <c:symbol val="none"/>
          </c:marker>
          <c:cat>
            <c:strRef>
              <c:f>data!$A$169:$A$177</c:f>
              <c:strCache>
                <c:ptCount val="9"/>
                <c:pt idx="0">
                  <c:v>FY08</c:v>
                </c:pt>
                <c:pt idx="1">
                  <c:v>FY09</c:v>
                </c:pt>
                <c:pt idx="2">
                  <c:v>FY10</c:v>
                </c:pt>
                <c:pt idx="3">
                  <c:v>FY11</c:v>
                </c:pt>
                <c:pt idx="4">
                  <c:v>FY12</c:v>
                </c:pt>
                <c:pt idx="5">
                  <c:v>FY13</c:v>
                </c:pt>
                <c:pt idx="6">
                  <c:v>FY14</c:v>
                </c:pt>
                <c:pt idx="7">
                  <c:v>FY15</c:v>
                </c:pt>
                <c:pt idx="8">
                  <c:v>FY16</c:v>
                </c:pt>
              </c:strCache>
            </c:strRef>
          </c:cat>
          <c:val>
            <c:numRef>
              <c:f>data!$G$169:$G$177</c:f>
              <c:numCache>
                <c:formatCode>0.0%</c:formatCode>
                <c:ptCount val="9"/>
                <c:pt idx="0">
                  <c:v>3.6466484818673699E-2</c:v>
                </c:pt>
                <c:pt idx="1">
                  <c:v>8.0339235573892609E-2</c:v>
                </c:pt>
                <c:pt idx="2">
                  <c:v>0.13444174335822193</c:v>
                </c:pt>
                <c:pt idx="3">
                  <c:v>3.7928462661984526E-2</c:v>
                </c:pt>
                <c:pt idx="4">
                  <c:v>4.5725031726096932E-2</c:v>
                </c:pt>
                <c:pt idx="5">
                  <c:v>0.17976792544861755</c:v>
                </c:pt>
                <c:pt idx="6">
                  <c:v>0.1921027354903225</c:v>
                </c:pt>
                <c:pt idx="7">
                  <c:v>0.1811757891688387</c:v>
                </c:pt>
                <c:pt idx="8">
                  <c:v>0.1811757891688387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588912016"/>
        <c:axId val="-1588916912"/>
      </c:lineChart>
      <c:catAx>
        <c:axId val="-15889120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Fiscal Year</a:t>
                </a:r>
              </a:p>
            </c:rich>
          </c:tx>
          <c:layout>
            <c:manualLayout>
              <c:xMode val="edge"/>
              <c:yMode val="edge"/>
              <c:x val="0.48422756091902203"/>
              <c:y val="0.91945592070692705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 b="0" baseline="0">
                <a:latin typeface="+mn-lt"/>
                <a:cs typeface="Arial" panose="020B0604020202020204" pitchFamily="34" charset="0"/>
              </a:defRPr>
            </a:pPr>
            <a:endParaRPr lang="en-US"/>
          </a:p>
        </c:txPr>
        <c:crossAx val="-1588916912"/>
        <c:crosses val="autoZero"/>
        <c:auto val="1"/>
        <c:lblAlgn val="ctr"/>
        <c:lblOffset val="100"/>
        <c:noMultiLvlLbl val="0"/>
      </c:catAx>
      <c:valAx>
        <c:axId val="-158891691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Percentage</a:t>
                </a:r>
              </a:p>
            </c:rich>
          </c:tx>
          <c:layout>
            <c:manualLayout>
              <c:xMode val="edge"/>
              <c:yMode val="edge"/>
              <c:x val="4.8473441747445998E-3"/>
              <c:y val="0.36539536980201598"/>
            </c:manualLayout>
          </c:layout>
          <c:overlay val="0"/>
        </c:title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sz="1200">
                <a:solidFill>
                  <a:sysClr val="windowText" lastClr="000000"/>
                </a:solidFill>
                <a:latin typeface="+mn-lt"/>
                <a:cs typeface="Arial" panose="020B0604020202020204" pitchFamily="34" charset="0"/>
              </a:defRPr>
            </a:pPr>
            <a:endParaRPr lang="en-US"/>
          </a:p>
        </c:txPr>
        <c:crossAx val="-1588912016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0000000000004" l="0.70000000000000095" r="0.70000000000000095" t="0.750000000000004" header="0.3" footer="0.3"/>
    <c:pageSetup/>
  </c:printSettings>
  <c:userShapes r:id="rId1"/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4617039265194"/>
          <c:y val="0.143607581541664"/>
          <c:w val="0.798349496295651"/>
          <c:h val="0.7057685758279259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data!$Q$233</c:f>
              <c:strCache>
                <c:ptCount val="1"/>
                <c:pt idx="0">
                  <c:v>VISITS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data!$A$234:$A$243</c:f>
              <c:strCache>
                <c:ptCount val="10"/>
                <c:pt idx="0">
                  <c:v>FY07</c:v>
                </c:pt>
                <c:pt idx="1">
                  <c:v>FY08</c:v>
                </c:pt>
                <c:pt idx="2">
                  <c:v>FY09</c:v>
                </c:pt>
                <c:pt idx="3">
                  <c:v>FY10</c:v>
                </c:pt>
                <c:pt idx="4">
                  <c:v>FY11</c:v>
                </c:pt>
                <c:pt idx="5">
                  <c:v>FY12</c:v>
                </c:pt>
                <c:pt idx="6">
                  <c:v>FY13</c:v>
                </c:pt>
                <c:pt idx="7">
                  <c:v>FY14</c:v>
                </c:pt>
                <c:pt idx="8">
                  <c:v>FY15</c:v>
                </c:pt>
                <c:pt idx="9">
                  <c:v>FY16</c:v>
                </c:pt>
              </c:strCache>
            </c:strRef>
          </c:cat>
          <c:val>
            <c:numRef>
              <c:f>data!$Q$234:$Q$243</c:f>
              <c:numCache>
                <c:formatCode>General</c:formatCode>
                <c:ptCount val="10"/>
                <c:pt idx="0">
                  <c:v>74193</c:v>
                </c:pt>
                <c:pt idx="1">
                  <c:v>78161</c:v>
                </c:pt>
                <c:pt idx="2">
                  <c:v>53247</c:v>
                </c:pt>
                <c:pt idx="3">
                  <c:v>35281</c:v>
                </c:pt>
                <c:pt idx="4">
                  <c:v>94768</c:v>
                </c:pt>
                <c:pt idx="5">
                  <c:v>205451</c:v>
                </c:pt>
                <c:pt idx="6">
                  <c:v>127574</c:v>
                </c:pt>
                <c:pt idx="7">
                  <c:v>119538</c:v>
                </c:pt>
                <c:pt idx="8">
                  <c:v>140454</c:v>
                </c:pt>
                <c:pt idx="9">
                  <c:v>189171</c:v>
                </c:pt>
              </c:numCache>
            </c:numRef>
          </c:val>
        </c:ser>
        <c:ser>
          <c:idx val="1"/>
          <c:order val="1"/>
          <c:tx>
            <c:strRef>
              <c:f>data!$R$233</c:f>
              <c:strCache>
                <c:ptCount val="1"/>
                <c:pt idx="0">
                  <c:v>VIEWS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data!$A$234:$A$243</c:f>
              <c:strCache>
                <c:ptCount val="10"/>
                <c:pt idx="0">
                  <c:v>FY07</c:v>
                </c:pt>
                <c:pt idx="1">
                  <c:v>FY08</c:v>
                </c:pt>
                <c:pt idx="2">
                  <c:v>FY09</c:v>
                </c:pt>
                <c:pt idx="3">
                  <c:v>FY10</c:v>
                </c:pt>
                <c:pt idx="4">
                  <c:v>FY11</c:v>
                </c:pt>
                <c:pt idx="5">
                  <c:v>FY12</c:v>
                </c:pt>
                <c:pt idx="6">
                  <c:v>FY13</c:v>
                </c:pt>
                <c:pt idx="7">
                  <c:v>FY14</c:v>
                </c:pt>
                <c:pt idx="8">
                  <c:v>FY15</c:v>
                </c:pt>
                <c:pt idx="9">
                  <c:v>FY16</c:v>
                </c:pt>
              </c:strCache>
            </c:strRef>
          </c:cat>
          <c:val>
            <c:numRef>
              <c:f>data!$R$234:$R$243</c:f>
              <c:numCache>
                <c:formatCode>General</c:formatCode>
                <c:ptCount val="10"/>
                <c:pt idx="0">
                  <c:v>735937</c:v>
                </c:pt>
                <c:pt idx="1">
                  <c:v>757185</c:v>
                </c:pt>
                <c:pt idx="2">
                  <c:v>377739</c:v>
                </c:pt>
                <c:pt idx="3">
                  <c:v>251786</c:v>
                </c:pt>
                <c:pt idx="4">
                  <c:v>915566</c:v>
                </c:pt>
                <c:pt idx="5">
                  <c:v>1386094</c:v>
                </c:pt>
                <c:pt idx="6">
                  <c:v>958322</c:v>
                </c:pt>
                <c:pt idx="7">
                  <c:v>744359</c:v>
                </c:pt>
                <c:pt idx="8">
                  <c:v>865811</c:v>
                </c:pt>
                <c:pt idx="9">
                  <c:v>1096949</c:v>
                </c:pt>
              </c:numCache>
            </c:numRef>
          </c:val>
        </c:ser>
        <c:ser>
          <c:idx val="2"/>
          <c:order val="2"/>
          <c:tx>
            <c:strRef>
              <c:f>data!$S$233</c:f>
              <c:strCache>
                <c:ptCount val="1"/>
                <c:pt idx="0">
                  <c:v>VISITORS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data!$A$234:$A$243</c:f>
              <c:strCache>
                <c:ptCount val="10"/>
                <c:pt idx="0">
                  <c:v>FY07</c:v>
                </c:pt>
                <c:pt idx="1">
                  <c:v>FY08</c:v>
                </c:pt>
                <c:pt idx="2">
                  <c:v>FY09</c:v>
                </c:pt>
                <c:pt idx="3">
                  <c:v>FY10</c:v>
                </c:pt>
                <c:pt idx="4">
                  <c:v>FY11</c:v>
                </c:pt>
                <c:pt idx="5">
                  <c:v>FY12</c:v>
                </c:pt>
                <c:pt idx="6">
                  <c:v>FY13</c:v>
                </c:pt>
                <c:pt idx="7">
                  <c:v>FY14</c:v>
                </c:pt>
                <c:pt idx="8">
                  <c:v>FY15</c:v>
                </c:pt>
                <c:pt idx="9">
                  <c:v>FY16</c:v>
                </c:pt>
              </c:strCache>
            </c:strRef>
          </c:cat>
          <c:val>
            <c:numRef>
              <c:f>data!$S$234:$S$243</c:f>
              <c:numCache>
                <c:formatCode>General</c:formatCode>
                <c:ptCount val="10"/>
                <c:pt idx="0">
                  <c:v>41991</c:v>
                </c:pt>
                <c:pt idx="1">
                  <c:v>44726</c:v>
                </c:pt>
                <c:pt idx="2">
                  <c:v>34902</c:v>
                </c:pt>
                <c:pt idx="3">
                  <c:v>23036</c:v>
                </c:pt>
                <c:pt idx="4">
                  <c:v>64358</c:v>
                </c:pt>
                <c:pt idx="5">
                  <c:v>164546</c:v>
                </c:pt>
                <c:pt idx="6">
                  <c:v>89098</c:v>
                </c:pt>
                <c:pt idx="7">
                  <c:v>86934</c:v>
                </c:pt>
                <c:pt idx="8">
                  <c:v>103590</c:v>
                </c:pt>
                <c:pt idx="9">
                  <c:v>143345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1588911472"/>
        <c:axId val="-1588902768"/>
      </c:barChart>
      <c:catAx>
        <c:axId val="-15889114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="1">
                    <a:solidFill>
                      <a:sysClr val="windowText" lastClr="000000"/>
                    </a:solidFill>
                  </a:rPr>
                  <a:t>Fiscal Year</a:t>
                </a:r>
              </a:p>
            </c:rich>
          </c:tx>
          <c:layout>
            <c:manualLayout>
              <c:xMode val="edge"/>
              <c:yMode val="edge"/>
              <c:x val="0.52015726535887796"/>
              <c:y val="0.92867232948051204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588902768"/>
        <c:crosses val="autoZero"/>
        <c:auto val="1"/>
        <c:lblAlgn val="ctr"/>
        <c:lblOffset val="100"/>
        <c:noMultiLvlLbl val="0"/>
      </c:catAx>
      <c:valAx>
        <c:axId val="-1588902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="1">
                    <a:solidFill>
                      <a:sysClr val="windowText" lastClr="000000"/>
                    </a:solidFill>
                  </a:rPr>
                  <a:t>Number </a:t>
                </a:r>
              </a:p>
            </c:rich>
          </c:tx>
          <c:layout>
            <c:manualLayout>
              <c:xMode val="edge"/>
              <c:yMode val="edge"/>
              <c:x val="3.3999234192006499E-3"/>
              <c:y val="0.346614823753157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588911472"/>
        <c:crosses val="autoZero"/>
        <c:crossBetween val="between"/>
      </c:valAx>
      <c:spPr>
        <a:noFill/>
        <a:ln>
          <a:solidFill>
            <a:schemeClr val="bg1">
              <a:lumMod val="50000"/>
            </a:schemeClr>
          </a:solidFill>
        </a:ln>
        <a:effectLst/>
      </c:spPr>
    </c:plotArea>
    <c:legend>
      <c:legendPos val="b"/>
      <c:layout>
        <c:manualLayout>
          <c:xMode val="edge"/>
          <c:yMode val="edge"/>
          <c:x val="0.51987741525258802"/>
          <c:y val="0.163551181102362"/>
          <c:w val="0.43458209103110301"/>
          <c:h val="7.00697022117758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>
                <a:latin typeface="+mn-lt"/>
                <a:cs typeface="Arial" panose="020B0604020202020204" pitchFamily="34" charset="0"/>
              </a:defRPr>
            </a:pPr>
            <a:r>
              <a:rPr lang="en-US"/>
              <a:t>LPDAAC Multi-Year Product Distribution Trend</a:t>
            </a:r>
          </a:p>
        </c:rich>
      </c:tx>
      <c:layout>
        <c:manualLayout>
          <c:xMode val="edge"/>
          <c:yMode val="edge"/>
          <c:x val="0.219374642226661"/>
          <c:y val="4.287412256015359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3107657173634"/>
          <c:y val="0.18225294239347301"/>
          <c:w val="0.85726272307204099"/>
          <c:h val="0.6552930766861140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Summary_data!$I$20</c:f>
              <c:strCache>
                <c:ptCount val="1"/>
                <c:pt idx="0">
                  <c:v>LP DAAC</c:v>
                </c:pt>
              </c:strCache>
            </c:strRef>
          </c:tx>
          <c:invertIfNegative val="0"/>
          <c:cat>
            <c:strRef>
              <c:f>Summary_data!$C$21:$C$30</c:f>
              <c:strCache>
                <c:ptCount val="10"/>
                <c:pt idx="0">
                  <c:v>FY07</c:v>
                </c:pt>
                <c:pt idx="1">
                  <c:v>FY08</c:v>
                </c:pt>
                <c:pt idx="2">
                  <c:v>FY09</c:v>
                </c:pt>
                <c:pt idx="3">
                  <c:v>FY10</c:v>
                </c:pt>
                <c:pt idx="4">
                  <c:v>FY11</c:v>
                </c:pt>
                <c:pt idx="5">
                  <c:v>FY12</c:v>
                </c:pt>
                <c:pt idx="6">
                  <c:v>FY13</c:v>
                </c:pt>
                <c:pt idx="7">
                  <c:v>FY14</c:v>
                </c:pt>
                <c:pt idx="8">
                  <c:v>FY15</c:v>
                </c:pt>
                <c:pt idx="9">
                  <c:v>FY16</c:v>
                </c:pt>
              </c:strCache>
            </c:strRef>
          </c:cat>
          <c:val>
            <c:numRef>
              <c:f>Summary_data!$I$21:$I$30</c:f>
              <c:numCache>
                <c:formatCode>_(* #,##0.0_);_(* \(#,##0.0\);_(* "-"??_);_(@_)</c:formatCode>
                <c:ptCount val="10"/>
                <c:pt idx="0">
                  <c:v>0.148617</c:v>
                </c:pt>
                <c:pt idx="1">
                  <c:v>16.757476</c:v>
                </c:pt>
                <c:pt idx="2">
                  <c:v>38.827043000000003</c:v>
                </c:pt>
                <c:pt idx="3">
                  <c:v>51.945273</c:v>
                </c:pt>
                <c:pt idx="4">
                  <c:v>63.965963000000002</c:v>
                </c:pt>
                <c:pt idx="5">
                  <c:v>70.588599000000002</c:v>
                </c:pt>
                <c:pt idx="6">
                  <c:v>111.743424</c:v>
                </c:pt>
                <c:pt idx="7">
                  <c:v>127.080485</c:v>
                </c:pt>
                <c:pt idx="8">
                  <c:v>163.27644599999999</c:v>
                </c:pt>
                <c:pt idx="9">
                  <c:v>174.59097600000001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588905488"/>
        <c:axId val="-1588925072"/>
      </c:barChart>
      <c:catAx>
        <c:axId val="-15889054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Fiscal Year</a:t>
                </a:r>
              </a:p>
            </c:rich>
          </c:tx>
          <c:layout>
            <c:manualLayout>
              <c:xMode val="edge"/>
              <c:yMode val="edge"/>
              <c:x val="0.51269424232162897"/>
              <c:y val="0.91856945601153805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 b="0" baseline="0">
                <a:latin typeface="+mn-lt"/>
                <a:cs typeface="Arial" panose="020B0604020202020204" pitchFamily="34" charset="0"/>
              </a:defRPr>
            </a:pPr>
            <a:endParaRPr lang="en-US"/>
          </a:p>
        </c:txPr>
        <c:crossAx val="-1588925072"/>
        <c:crosses val="autoZero"/>
        <c:auto val="1"/>
        <c:lblAlgn val="ctr"/>
        <c:lblOffset val="100"/>
        <c:noMultiLvlLbl val="0"/>
      </c:catAx>
      <c:valAx>
        <c:axId val="-158892507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Product Distributed (Millions)</a:t>
                </a:r>
              </a:p>
            </c:rich>
          </c:tx>
          <c:layout>
            <c:manualLayout>
              <c:xMode val="edge"/>
              <c:yMode val="edge"/>
              <c:x val="1.6285028493567399E-2"/>
              <c:y val="0.17328868888728299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1200">
                <a:latin typeface="+mn-lt"/>
                <a:cs typeface="Arial" panose="020B0604020202020204" pitchFamily="34" charset="0"/>
              </a:defRPr>
            </a:pPr>
            <a:endParaRPr lang="en-US"/>
          </a:p>
        </c:txPr>
        <c:crossAx val="-1588905488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0000000000004" l="0.70000000000000095" r="0.70000000000000095" t="0.750000000000004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>
                <a:latin typeface="+mn-lt"/>
                <a:cs typeface="Arial" panose="020B0604020202020204" pitchFamily="34" charset="0"/>
              </a:defRPr>
            </a:pPr>
            <a:r>
              <a:rPr lang="en-US"/>
              <a:t>MODAPS Multi-Year Total Archive Volume Trend</a:t>
            </a:r>
          </a:p>
        </c:rich>
      </c:tx>
      <c:layout>
        <c:manualLayout>
          <c:xMode val="edge"/>
          <c:yMode val="edge"/>
          <c:x val="0.223544133657093"/>
          <c:y val="3.841216417989099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56188786714438"/>
          <c:y val="0.18228668594254499"/>
          <c:w val="0.80487043883359"/>
          <c:h val="0.6507674633483110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data!$H$156</c:f>
              <c:strCache>
                <c:ptCount val="1"/>
                <c:pt idx="0">
                  <c:v>MODAPS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invertIfNegative val="0"/>
          <c:cat>
            <c:strRef>
              <c:f>data!$A$157:$A$165</c:f>
              <c:strCache>
                <c:ptCount val="9"/>
                <c:pt idx="0">
                  <c:v>FY08</c:v>
                </c:pt>
                <c:pt idx="1">
                  <c:v>FY09</c:v>
                </c:pt>
                <c:pt idx="2">
                  <c:v>FY10</c:v>
                </c:pt>
                <c:pt idx="3">
                  <c:v>FY11</c:v>
                </c:pt>
                <c:pt idx="4">
                  <c:v>FY12</c:v>
                </c:pt>
                <c:pt idx="5">
                  <c:v>FY13</c:v>
                </c:pt>
                <c:pt idx="6">
                  <c:v>FY14</c:v>
                </c:pt>
                <c:pt idx="7">
                  <c:v>FY15</c:v>
                </c:pt>
                <c:pt idx="8">
                  <c:v>FY16</c:v>
                </c:pt>
              </c:strCache>
            </c:strRef>
          </c:cat>
          <c:val>
            <c:numRef>
              <c:f>data!$H$157:$H$165</c:f>
              <c:numCache>
                <c:formatCode>_(* #,##0.00_);_(* \(#,##0.00\);_(* "-"??_);_(@_)</c:formatCode>
                <c:ptCount val="9"/>
                <c:pt idx="0">
                  <c:v>180.68916015625001</c:v>
                </c:pt>
                <c:pt idx="1">
                  <c:v>392.52600000000001</c:v>
                </c:pt>
                <c:pt idx="2">
                  <c:v>768.33581738281248</c:v>
                </c:pt>
                <c:pt idx="3">
                  <c:v>882.08933593749998</c:v>
                </c:pt>
                <c:pt idx="4">
                  <c:v>1159.65796875</c:v>
                </c:pt>
                <c:pt idx="5">
                  <c:v>1543.9236425781251</c:v>
                </c:pt>
                <c:pt idx="6">
                  <c:v>2298.7438358583699</c:v>
                </c:pt>
                <c:pt idx="7">
                  <c:v>5265.4695996093751</c:v>
                </c:pt>
                <c:pt idx="8">
                  <c:v>6075.106201171875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588925616"/>
        <c:axId val="-1588918000"/>
      </c:barChart>
      <c:catAx>
        <c:axId val="-15889256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Fiscal Year</a:t>
                </a:r>
              </a:p>
            </c:rich>
          </c:tx>
          <c:layout>
            <c:manualLayout>
              <c:xMode val="edge"/>
              <c:yMode val="edge"/>
              <c:x val="0.49999567596515698"/>
              <c:y val="0.91411120752953801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 b="0" baseline="0">
                <a:latin typeface="+mn-lt"/>
                <a:cs typeface="Arial" panose="020B0604020202020204" pitchFamily="34" charset="0"/>
              </a:defRPr>
            </a:pPr>
            <a:endParaRPr lang="en-US"/>
          </a:p>
        </c:txPr>
        <c:crossAx val="-1588918000"/>
        <c:crosses val="autoZero"/>
        <c:auto val="1"/>
        <c:lblAlgn val="ctr"/>
        <c:lblOffset val="100"/>
        <c:noMultiLvlLbl val="0"/>
      </c:catAx>
      <c:valAx>
        <c:axId val="-158891800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Volume (TB)</a:t>
                </a:r>
              </a:p>
            </c:rich>
          </c:tx>
          <c:layout>
            <c:manualLayout>
              <c:xMode val="edge"/>
              <c:yMode val="edge"/>
              <c:x val="1.62849872773537E-2"/>
              <c:y val="0.34790157257870402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1200">
                <a:latin typeface="+mn-lt"/>
                <a:cs typeface="Arial" panose="020B0604020202020204" pitchFamily="34" charset="0"/>
              </a:defRPr>
            </a:pPr>
            <a:endParaRPr lang="en-US"/>
          </a:p>
        </c:txPr>
        <c:crossAx val="-1588925616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0000000000004" l="0.70000000000000095" r="0.70000000000000095" t="0.750000000000004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469718140060849"/>
          <c:y val="0.14901950216041901"/>
          <c:w val="0.85446592494567353"/>
          <c:h val="0.68891197860574704"/>
        </c:manualLayout>
      </c:layout>
      <c:lineChart>
        <c:grouping val="standard"/>
        <c:varyColors val="0"/>
        <c:ser>
          <c:idx val="0"/>
          <c:order val="0"/>
          <c:tx>
            <c:strRef>
              <c:f>data!$H$168</c:f>
              <c:strCache>
                <c:ptCount val="1"/>
                <c:pt idx="0">
                  <c:v>MODAPS</c:v>
                </c:pt>
              </c:strCache>
            </c:strRef>
          </c:tx>
          <c:marker>
            <c:symbol val="none"/>
          </c:marker>
          <c:cat>
            <c:strRef>
              <c:f>data!$A$169:$A$177</c:f>
              <c:strCache>
                <c:ptCount val="9"/>
                <c:pt idx="0">
                  <c:v>FY08</c:v>
                </c:pt>
                <c:pt idx="1">
                  <c:v>FY09</c:v>
                </c:pt>
                <c:pt idx="2">
                  <c:v>FY10</c:v>
                </c:pt>
                <c:pt idx="3">
                  <c:v>FY11</c:v>
                </c:pt>
                <c:pt idx="4">
                  <c:v>FY12</c:v>
                </c:pt>
                <c:pt idx="5">
                  <c:v>FY13</c:v>
                </c:pt>
                <c:pt idx="6">
                  <c:v>FY14</c:v>
                </c:pt>
                <c:pt idx="7">
                  <c:v>FY15</c:v>
                </c:pt>
                <c:pt idx="8">
                  <c:v>FY16</c:v>
                </c:pt>
              </c:strCache>
            </c:strRef>
          </c:cat>
          <c:val>
            <c:numRef>
              <c:f>data!$H$169:$H$177</c:f>
              <c:numCache>
                <c:formatCode>0.0%</c:formatCode>
                <c:ptCount val="9"/>
                <c:pt idx="0">
                  <c:v>0.37612140147288553</c:v>
                </c:pt>
                <c:pt idx="1">
                  <c:v>0.3058103975535168</c:v>
                </c:pt>
                <c:pt idx="2">
                  <c:v>0.31578103282369291</c:v>
                </c:pt>
                <c:pt idx="3">
                  <c:v>4.3380262737380361E-2</c:v>
                </c:pt>
                <c:pt idx="4">
                  <c:v>4.3854362508434164E-2</c:v>
                </c:pt>
                <c:pt idx="5">
                  <c:v>5.8026532011448598E-2</c:v>
                </c:pt>
                <c:pt idx="6">
                  <c:v>8.1791067069328469E-2</c:v>
                </c:pt>
                <c:pt idx="7">
                  <c:v>7.4258150022375985E-2</c:v>
                </c:pt>
                <c:pt idx="8">
                  <c:v>7.4258150022375985E-2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588900048"/>
        <c:axId val="-1588910928"/>
      </c:lineChart>
      <c:catAx>
        <c:axId val="-15889000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Fiscal Year</a:t>
                </a:r>
              </a:p>
            </c:rich>
          </c:tx>
          <c:layout>
            <c:manualLayout>
              <c:xMode val="edge"/>
              <c:yMode val="edge"/>
              <c:x val="0.48422756091902203"/>
              <c:y val="0.91945592070692705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 b="0" baseline="0">
                <a:latin typeface="+mn-lt"/>
                <a:cs typeface="Arial" panose="020B0604020202020204" pitchFamily="34" charset="0"/>
              </a:defRPr>
            </a:pPr>
            <a:endParaRPr lang="en-US"/>
          </a:p>
        </c:txPr>
        <c:crossAx val="-1588910928"/>
        <c:crosses val="autoZero"/>
        <c:auto val="1"/>
        <c:lblAlgn val="ctr"/>
        <c:lblOffset val="100"/>
        <c:noMultiLvlLbl val="0"/>
      </c:catAx>
      <c:valAx>
        <c:axId val="-158891092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Percentage</a:t>
                </a:r>
              </a:p>
            </c:rich>
          </c:tx>
          <c:layout>
            <c:manualLayout>
              <c:xMode val="edge"/>
              <c:yMode val="edge"/>
              <c:x val="4.8473441747445998E-3"/>
              <c:y val="0.36539536980201598"/>
            </c:manualLayout>
          </c:layout>
          <c:overlay val="0"/>
        </c:title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sz="1200">
                <a:solidFill>
                  <a:sysClr val="windowText" lastClr="000000"/>
                </a:solidFill>
                <a:latin typeface="+mn-lt"/>
                <a:cs typeface="Arial" panose="020B0604020202020204" pitchFamily="34" charset="0"/>
              </a:defRPr>
            </a:pPr>
            <a:endParaRPr lang="en-US"/>
          </a:p>
        </c:txPr>
        <c:crossAx val="-1588900048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0000000000004" l="0.70000000000000095" r="0.70000000000000095" t="0.750000000000004" header="0.3" footer="0.3"/>
    <c:pageSetup/>
  </c:printSettings>
  <c:userShapes r:id="rId1"/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4617039265194"/>
          <c:y val="0.143607581541664"/>
          <c:w val="0.798349496295651"/>
          <c:h val="0.7057685758279259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data!$T$233</c:f>
              <c:strCache>
                <c:ptCount val="1"/>
                <c:pt idx="0">
                  <c:v>VISITS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data!$A$234:$A$243</c:f>
              <c:strCache>
                <c:ptCount val="10"/>
                <c:pt idx="0">
                  <c:v>FY07</c:v>
                </c:pt>
                <c:pt idx="1">
                  <c:v>FY08</c:v>
                </c:pt>
                <c:pt idx="2">
                  <c:v>FY09</c:v>
                </c:pt>
                <c:pt idx="3">
                  <c:v>FY10</c:v>
                </c:pt>
                <c:pt idx="4">
                  <c:v>FY11</c:v>
                </c:pt>
                <c:pt idx="5">
                  <c:v>FY12</c:v>
                </c:pt>
                <c:pt idx="6">
                  <c:v>FY13</c:v>
                </c:pt>
                <c:pt idx="7">
                  <c:v>FY14</c:v>
                </c:pt>
                <c:pt idx="8">
                  <c:v>FY15</c:v>
                </c:pt>
                <c:pt idx="9">
                  <c:v>FY16</c:v>
                </c:pt>
              </c:strCache>
            </c:strRef>
          </c:cat>
          <c:val>
            <c:numRef>
              <c:f>data!$T$234:$T$243</c:f>
              <c:numCache>
                <c:formatCode>General</c:formatCode>
                <c:ptCount val="10"/>
                <c:pt idx="0">
                  <c:v>53574</c:v>
                </c:pt>
                <c:pt idx="1">
                  <c:v>64290</c:v>
                </c:pt>
                <c:pt idx="2">
                  <c:v>74206</c:v>
                </c:pt>
                <c:pt idx="3">
                  <c:v>87176</c:v>
                </c:pt>
                <c:pt idx="4">
                  <c:v>230192</c:v>
                </c:pt>
                <c:pt idx="5">
                  <c:v>652612</c:v>
                </c:pt>
                <c:pt idx="6">
                  <c:v>605342</c:v>
                </c:pt>
                <c:pt idx="7">
                  <c:v>466031</c:v>
                </c:pt>
                <c:pt idx="8">
                  <c:v>443373</c:v>
                </c:pt>
                <c:pt idx="9">
                  <c:v>412847</c:v>
                </c:pt>
              </c:numCache>
            </c:numRef>
          </c:val>
        </c:ser>
        <c:ser>
          <c:idx val="1"/>
          <c:order val="1"/>
          <c:tx>
            <c:strRef>
              <c:f>data!$U$233</c:f>
              <c:strCache>
                <c:ptCount val="1"/>
                <c:pt idx="0">
                  <c:v>VIEWS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data!$A$234:$A$243</c:f>
              <c:strCache>
                <c:ptCount val="10"/>
                <c:pt idx="0">
                  <c:v>FY07</c:v>
                </c:pt>
                <c:pt idx="1">
                  <c:v>FY08</c:v>
                </c:pt>
                <c:pt idx="2">
                  <c:v>FY09</c:v>
                </c:pt>
                <c:pt idx="3">
                  <c:v>FY10</c:v>
                </c:pt>
                <c:pt idx="4">
                  <c:v>FY11</c:v>
                </c:pt>
                <c:pt idx="5">
                  <c:v>FY12</c:v>
                </c:pt>
                <c:pt idx="6">
                  <c:v>FY13</c:v>
                </c:pt>
                <c:pt idx="7">
                  <c:v>FY14</c:v>
                </c:pt>
                <c:pt idx="8">
                  <c:v>FY15</c:v>
                </c:pt>
                <c:pt idx="9">
                  <c:v>FY16</c:v>
                </c:pt>
              </c:strCache>
            </c:strRef>
          </c:cat>
          <c:val>
            <c:numRef>
              <c:f>data!$U$234:$U$243</c:f>
              <c:numCache>
                <c:formatCode>General</c:formatCode>
                <c:ptCount val="10"/>
                <c:pt idx="0">
                  <c:v>979938</c:v>
                </c:pt>
                <c:pt idx="1">
                  <c:v>1137682</c:v>
                </c:pt>
                <c:pt idx="2">
                  <c:v>1298537</c:v>
                </c:pt>
                <c:pt idx="3">
                  <c:v>1513257</c:v>
                </c:pt>
                <c:pt idx="4">
                  <c:v>3059401</c:v>
                </c:pt>
                <c:pt idx="5">
                  <c:v>7811167</c:v>
                </c:pt>
                <c:pt idx="6">
                  <c:v>7137162</c:v>
                </c:pt>
                <c:pt idx="7">
                  <c:v>5830786</c:v>
                </c:pt>
                <c:pt idx="8">
                  <c:v>5429821</c:v>
                </c:pt>
                <c:pt idx="9">
                  <c:v>4971411</c:v>
                </c:pt>
              </c:numCache>
            </c:numRef>
          </c:val>
        </c:ser>
        <c:ser>
          <c:idx val="2"/>
          <c:order val="2"/>
          <c:tx>
            <c:strRef>
              <c:f>data!$V$233</c:f>
              <c:strCache>
                <c:ptCount val="1"/>
                <c:pt idx="0">
                  <c:v>VISITORS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data!$A$234:$A$243</c:f>
              <c:strCache>
                <c:ptCount val="10"/>
                <c:pt idx="0">
                  <c:v>FY07</c:v>
                </c:pt>
                <c:pt idx="1">
                  <c:v>FY08</c:v>
                </c:pt>
                <c:pt idx="2">
                  <c:v>FY09</c:v>
                </c:pt>
                <c:pt idx="3">
                  <c:v>FY10</c:v>
                </c:pt>
                <c:pt idx="4">
                  <c:v>FY11</c:v>
                </c:pt>
                <c:pt idx="5">
                  <c:v>FY12</c:v>
                </c:pt>
                <c:pt idx="6">
                  <c:v>FY13</c:v>
                </c:pt>
                <c:pt idx="7">
                  <c:v>FY14</c:v>
                </c:pt>
                <c:pt idx="8">
                  <c:v>FY15</c:v>
                </c:pt>
                <c:pt idx="9">
                  <c:v>FY16</c:v>
                </c:pt>
              </c:strCache>
            </c:strRef>
          </c:cat>
          <c:val>
            <c:numRef>
              <c:f>data!$V$234:$V$243</c:f>
              <c:numCache>
                <c:formatCode>General</c:formatCode>
                <c:ptCount val="10"/>
                <c:pt idx="0">
                  <c:v>17740</c:v>
                </c:pt>
                <c:pt idx="1">
                  <c:v>22482</c:v>
                </c:pt>
                <c:pt idx="2">
                  <c:v>29103</c:v>
                </c:pt>
                <c:pt idx="3">
                  <c:v>37412</c:v>
                </c:pt>
                <c:pt idx="4">
                  <c:v>118902</c:v>
                </c:pt>
                <c:pt idx="5">
                  <c:v>343312</c:v>
                </c:pt>
                <c:pt idx="6">
                  <c:v>310180</c:v>
                </c:pt>
                <c:pt idx="7">
                  <c:v>244340</c:v>
                </c:pt>
                <c:pt idx="8">
                  <c:v>232392</c:v>
                </c:pt>
                <c:pt idx="9">
                  <c:v>220035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1588914192"/>
        <c:axId val="-1588909296"/>
      </c:barChart>
      <c:catAx>
        <c:axId val="-158891419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="1">
                    <a:solidFill>
                      <a:sysClr val="windowText" lastClr="000000"/>
                    </a:solidFill>
                  </a:rPr>
                  <a:t>Fiscal Year</a:t>
                </a:r>
              </a:p>
            </c:rich>
          </c:tx>
          <c:layout>
            <c:manualLayout>
              <c:xMode val="edge"/>
              <c:yMode val="edge"/>
              <c:x val="0.52015726535887796"/>
              <c:y val="0.92867232948051204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588909296"/>
        <c:crosses val="autoZero"/>
        <c:auto val="1"/>
        <c:lblAlgn val="ctr"/>
        <c:lblOffset val="100"/>
        <c:noMultiLvlLbl val="0"/>
      </c:catAx>
      <c:valAx>
        <c:axId val="-15889092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="1">
                    <a:solidFill>
                      <a:sysClr val="windowText" lastClr="000000"/>
                    </a:solidFill>
                  </a:rPr>
                  <a:t>Number </a:t>
                </a:r>
              </a:p>
            </c:rich>
          </c:tx>
          <c:layout>
            <c:manualLayout>
              <c:xMode val="edge"/>
              <c:yMode val="edge"/>
              <c:x val="3.3999234192006499E-3"/>
              <c:y val="0.346614823753157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588914192"/>
        <c:crosses val="autoZero"/>
        <c:crossBetween val="between"/>
      </c:valAx>
      <c:spPr>
        <a:noFill/>
        <a:ln>
          <a:solidFill>
            <a:schemeClr val="bg1">
              <a:lumMod val="50000"/>
            </a:schemeClr>
          </a:solidFill>
        </a:ln>
        <a:effectLst/>
      </c:spPr>
    </c:plotArea>
    <c:legend>
      <c:legendPos val="b"/>
      <c:layout>
        <c:manualLayout>
          <c:xMode val="edge"/>
          <c:yMode val="edge"/>
          <c:x val="0.51987741525258802"/>
          <c:y val="0.163551181102362"/>
          <c:w val="0.43458209103110301"/>
          <c:h val="7.00697022117758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>
                <a:latin typeface="+mn-lt"/>
                <a:cs typeface="Arial" panose="020B0604020202020204" pitchFamily="34" charset="0"/>
              </a:defRPr>
            </a:pPr>
            <a:r>
              <a:rPr lang="en-US"/>
              <a:t>MODAPS Multi-Year Product Distribution Trend</a:t>
            </a:r>
          </a:p>
        </c:rich>
      </c:tx>
      <c:layout>
        <c:manualLayout>
          <c:xMode val="edge"/>
          <c:yMode val="edge"/>
          <c:x val="0.219374642226661"/>
          <c:y val="4.287412256015359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3107657173634"/>
          <c:y val="0.18225294239347301"/>
          <c:w val="0.85726272307204099"/>
          <c:h val="0.6552930766861140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Summary_data!$J$20</c:f>
              <c:strCache>
                <c:ptCount val="1"/>
                <c:pt idx="0">
                  <c:v>MODAPS</c:v>
                </c:pt>
              </c:strCache>
            </c:strRef>
          </c:tx>
          <c:invertIfNegative val="0"/>
          <c:cat>
            <c:strRef>
              <c:f>Summary_data!$C$21:$C$30</c:f>
              <c:strCache>
                <c:ptCount val="10"/>
                <c:pt idx="0">
                  <c:v>FY07</c:v>
                </c:pt>
                <c:pt idx="1">
                  <c:v>FY08</c:v>
                </c:pt>
                <c:pt idx="2">
                  <c:v>FY09</c:v>
                </c:pt>
                <c:pt idx="3">
                  <c:v>FY10</c:v>
                </c:pt>
                <c:pt idx="4">
                  <c:v>FY11</c:v>
                </c:pt>
                <c:pt idx="5">
                  <c:v>FY12</c:v>
                </c:pt>
                <c:pt idx="6">
                  <c:v>FY13</c:v>
                </c:pt>
                <c:pt idx="7">
                  <c:v>FY14</c:v>
                </c:pt>
                <c:pt idx="8">
                  <c:v>FY15</c:v>
                </c:pt>
                <c:pt idx="9">
                  <c:v>FY16</c:v>
                </c:pt>
              </c:strCache>
            </c:strRef>
          </c:cat>
          <c:val>
            <c:numRef>
              <c:f>Summary_data!$J$21:$J$30</c:f>
              <c:numCache>
                <c:formatCode>_(* #,##0.0_);_(* \(#,##0.0\);_(* "-"??_);_(@_)</c:formatCode>
                <c:ptCount val="10"/>
                <c:pt idx="0">
                  <c:v>33.570419000000001</c:v>
                </c:pt>
                <c:pt idx="1">
                  <c:v>47.736139999999999</c:v>
                </c:pt>
                <c:pt idx="2">
                  <c:v>47.205446000000002</c:v>
                </c:pt>
                <c:pt idx="3">
                  <c:v>79.756398000000004</c:v>
                </c:pt>
                <c:pt idx="4">
                  <c:v>98.766036999999997</c:v>
                </c:pt>
                <c:pt idx="5">
                  <c:v>95.246110000000002</c:v>
                </c:pt>
                <c:pt idx="6">
                  <c:v>135.28649799999999</c:v>
                </c:pt>
                <c:pt idx="7">
                  <c:v>196.13767899999999</c:v>
                </c:pt>
                <c:pt idx="8">
                  <c:v>360.64454699999999</c:v>
                </c:pt>
                <c:pt idx="9">
                  <c:v>230.71311800000001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588908752"/>
        <c:axId val="-1588904400"/>
      </c:barChart>
      <c:catAx>
        <c:axId val="-15889087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Fiscal Year</a:t>
                </a:r>
              </a:p>
            </c:rich>
          </c:tx>
          <c:layout>
            <c:manualLayout>
              <c:xMode val="edge"/>
              <c:yMode val="edge"/>
              <c:x val="0.51269424232162897"/>
              <c:y val="0.91856945601153805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 b="0" baseline="0">
                <a:latin typeface="+mn-lt"/>
                <a:cs typeface="Arial" panose="020B0604020202020204" pitchFamily="34" charset="0"/>
              </a:defRPr>
            </a:pPr>
            <a:endParaRPr lang="en-US"/>
          </a:p>
        </c:txPr>
        <c:crossAx val="-1588904400"/>
        <c:crosses val="autoZero"/>
        <c:auto val="1"/>
        <c:lblAlgn val="ctr"/>
        <c:lblOffset val="100"/>
        <c:noMultiLvlLbl val="0"/>
      </c:catAx>
      <c:valAx>
        <c:axId val="-158890440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Product Distributed (Millions)</a:t>
                </a:r>
              </a:p>
            </c:rich>
          </c:tx>
          <c:layout>
            <c:manualLayout>
              <c:xMode val="edge"/>
              <c:yMode val="edge"/>
              <c:x val="1.6285028493567399E-2"/>
              <c:y val="0.17328868888728299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1200">
                <a:latin typeface="+mn-lt"/>
                <a:cs typeface="Arial" panose="020B0604020202020204" pitchFamily="34" charset="0"/>
              </a:defRPr>
            </a:pPr>
            <a:endParaRPr lang="en-US"/>
          </a:p>
        </c:txPr>
        <c:crossAx val="-1588908752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0000000000004" l="0.70000000000000095" r="0.70000000000000095" t="0.750000000000004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>
                <a:latin typeface="+mn-lt"/>
                <a:cs typeface="Arial" panose="020B0604020202020204" pitchFamily="34" charset="0"/>
              </a:defRPr>
            </a:pPr>
            <a:r>
              <a:rPr lang="en-US"/>
              <a:t>NSIDC Multi-Year Total Archive Volume Trend</a:t>
            </a:r>
          </a:p>
        </c:rich>
      </c:tx>
      <c:layout>
        <c:manualLayout>
          <c:xMode val="edge"/>
          <c:yMode val="edge"/>
          <c:x val="0.223544133657093"/>
          <c:y val="3.841216417989099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56188786714438"/>
          <c:y val="0.18228668594254499"/>
          <c:w val="0.80487043883359"/>
          <c:h val="0.6507674633483110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data!$I$156</c:f>
              <c:strCache>
                <c:ptCount val="1"/>
                <c:pt idx="0">
                  <c:v>NSIDC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invertIfNegative val="0"/>
          <c:cat>
            <c:strRef>
              <c:f>data!$A$157:$A$165</c:f>
              <c:strCache>
                <c:ptCount val="9"/>
                <c:pt idx="0">
                  <c:v>FY08</c:v>
                </c:pt>
                <c:pt idx="1">
                  <c:v>FY09</c:v>
                </c:pt>
                <c:pt idx="2">
                  <c:v>FY10</c:v>
                </c:pt>
                <c:pt idx="3">
                  <c:v>FY11</c:v>
                </c:pt>
                <c:pt idx="4">
                  <c:v>FY12</c:v>
                </c:pt>
                <c:pt idx="5">
                  <c:v>FY13</c:v>
                </c:pt>
                <c:pt idx="6">
                  <c:v>FY14</c:v>
                </c:pt>
                <c:pt idx="7">
                  <c:v>FY15</c:v>
                </c:pt>
                <c:pt idx="8">
                  <c:v>FY16</c:v>
                </c:pt>
              </c:strCache>
            </c:strRef>
          </c:cat>
          <c:val>
            <c:numRef>
              <c:f>data!$I$157:$I$165</c:f>
              <c:numCache>
                <c:formatCode>_(* #,##0.00_);_(* \(#,##0.00\);_(* "-"??_);_(@_)</c:formatCode>
                <c:ptCount val="9"/>
                <c:pt idx="0">
                  <c:v>125.360509765625</c:v>
                </c:pt>
                <c:pt idx="1">
                  <c:v>63.571999999999996</c:v>
                </c:pt>
                <c:pt idx="2">
                  <c:v>66.057981445312507</c:v>
                </c:pt>
                <c:pt idx="3">
                  <c:v>64.431476562499995</c:v>
                </c:pt>
                <c:pt idx="4">
                  <c:v>63.890546874999998</c:v>
                </c:pt>
                <c:pt idx="5">
                  <c:v>108.343125</c:v>
                </c:pt>
                <c:pt idx="6">
                  <c:v>121.28570499155356</c:v>
                </c:pt>
                <c:pt idx="7">
                  <c:v>177.02448242187498</c:v>
                </c:pt>
                <c:pt idx="8">
                  <c:v>277.42061523437502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588900592"/>
        <c:axId val="-1588899504"/>
      </c:barChart>
      <c:catAx>
        <c:axId val="-15889005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Fiscal Year</a:t>
                </a:r>
              </a:p>
            </c:rich>
          </c:tx>
          <c:layout>
            <c:manualLayout>
              <c:xMode val="edge"/>
              <c:yMode val="edge"/>
              <c:x val="0.49999567596515698"/>
              <c:y val="0.91411120752953801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 b="0" baseline="0">
                <a:latin typeface="+mn-lt"/>
                <a:cs typeface="Arial" panose="020B0604020202020204" pitchFamily="34" charset="0"/>
              </a:defRPr>
            </a:pPr>
            <a:endParaRPr lang="en-US"/>
          </a:p>
        </c:txPr>
        <c:crossAx val="-1588899504"/>
        <c:crosses val="autoZero"/>
        <c:auto val="1"/>
        <c:lblAlgn val="ctr"/>
        <c:lblOffset val="100"/>
        <c:noMultiLvlLbl val="0"/>
      </c:catAx>
      <c:valAx>
        <c:axId val="-158889950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Volume (TB)</a:t>
                </a:r>
              </a:p>
            </c:rich>
          </c:tx>
          <c:layout>
            <c:manualLayout>
              <c:xMode val="edge"/>
              <c:yMode val="edge"/>
              <c:x val="1.62849872773537E-2"/>
              <c:y val="0.34790157257870402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1200">
                <a:latin typeface="+mn-lt"/>
                <a:cs typeface="Arial" panose="020B0604020202020204" pitchFamily="34" charset="0"/>
              </a:defRPr>
            </a:pPr>
            <a:endParaRPr lang="en-US"/>
          </a:p>
        </c:txPr>
        <c:crossAx val="-1588900592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0000000000004" l="0.70000000000000095" r="0.70000000000000095" t="0.750000000000004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4617039265194"/>
          <c:y val="0.143607581541664"/>
          <c:w val="0.798349496295651"/>
          <c:h val="0.7057685758279259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data!$B$233</c:f>
              <c:strCache>
                <c:ptCount val="1"/>
                <c:pt idx="0">
                  <c:v>VISITS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data!$A$234:$A$243</c:f>
              <c:strCache>
                <c:ptCount val="10"/>
                <c:pt idx="0">
                  <c:v>FY07</c:v>
                </c:pt>
                <c:pt idx="1">
                  <c:v>FY08</c:v>
                </c:pt>
                <c:pt idx="2">
                  <c:v>FY09</c:v>
                </c:pt>
                <c:pt idx="3">
                  <c:v>FY10</c:v>
                </c:pt>
                <c:pt idx="4">
                  <c:v>FY11</c:v>
                </c:pt>
                <c:pt idx="5">
                  <c:v>FY12</c:v>
                </c:pt>
                <c:pt idx="6">
                  <c:v>FY13</c:v>
                </c:pt>
                <c:pt idx="7">
                  <c:v>FY14</c:v>
                </c:pt>
                <c:pt idx="8">
                  <c:v>FY15</c:v>
                </c:pt>
                <c:pt idx="9">
                  <c:v>FY16</c:v>
                </c:pt>
              </c:strCache>
            </c:strRef>
          </c:cat>
          <c:val>
            <c:numRef>
              <c:f>data!$B$234:$B$243</c:f>
              <c:numCache>
                <c:formatCode>General</c:formatCode>
                <c:ptCount val="10"/>
                <c:pt idx="0">
                  <c:v>125817</c:v>
                </c:pt>
                <c:pt idx="1">
                  <c:v>145765</c:v>
                </c:pt>
                <c:pt idx="2">
                  <c:v>160681</c:v>
                </c:pt>
                <c:pt idx="3">
                  <c:v>191478</c:v>
                </c:pt>
                <c:pt idx="4">
                  <c:v>199316</c:v>
                </c:pt>
                <c:pt idx="5">
                  <c:v>165200</c:v>
                </c:pt>
                <c:pt idx="6">
                  <c:v>159750</c:v>
                </c:pt>
                <c:pt idx="7">
                  <c:v>47436</c:v>
                </c:pt>
                <c:pt idx="8">
                  <c:v>52864</c:v>
                </c:pt>
                <c:pt idx="9">
                  <c:v>55046</c:v>
                </c:pt>
              </c:numCache>
            </c:numRef>
          </c:val>
        </c:ser>
        <c:ser>
          <c:idx val="1"/>
          <c:order val="1"/>
          <c:tx>
            <c:strRef>
              <c:f>data!$C$233</c:f>
              <c:strCache>
                <c:ptCount val="1"/>
                <c:pt idx="0">
                  <c:v>VIEWS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data!$A$234:$A$243</c:f>
              <c:strCache>
                <c:ptCount val="10"/>
                <c:pt idx="0">
                  <c:v>FY07</c:v>
                </c:pt>
                <c:pt idx="1">
                  <c:v>FY08</c:v>
                </c:pt>
                <c:pt idx="2">
                  <c:v>FY09</c:v>
                </c:pt>
                <c:pt idx="3">
                  <c:v>FY10</c:v>
                </c:pt>
                <c:pt idx="4">
                  <c:v>FY11</c:v>
                </c:pt>
                <c:pt idx="5">
                  <c:v>FY12</c:v>
                </c:pt>
                <c:pt idx="6">
                  <c:v>FY13</c:v>
                </c:pt>
                <c:pt idx="7">
                  <c:v>FY14</c:v>
                </c:pt>
                <c:pt idx="8">
                  <c:v>FY15</c:v>
                </c:pt>
                <c:pt idx="9">
                  <c:v>FY16</c:v>
                </c:pt>
              </c:strCache>
            </c:strRef>
          </c:cat>
          <c:val>
            <c:numRef>
              <c:f>data!$C$234:$C$243</c:f>
              <c:numCache>
                <c:formatCode>General</c:formatCode>
                <c:ptCount val="10"/>
                <c:pt idx="0">
                  <c:v>1394032</c:v>
                </c:pt>
                <c:pt idx="1">
                  <c:v>1613397</c:v>
                </c:pt>
                <c:pt idx="2">
                  <c:v>1799677</c:v>
                </c:pt>
                <c:pt idx="3">
                  <c:v>2205316</c:v>
                </c:pt>
                <c:pt idx="4">
                  <c:v>2420483</c:v>
                </c:pt>
                <c:pt idx="5">
                  <c:v>1743569</c:v>
                </c:pt>
                <c:pt idx="6">
                  <c:v>1808786</c:v>
                </c:pt>
                <c:pt idx="7">
                  <c:v>483566</c:v>
                </c:pt>
                <c:pt idx="8">
                  <c:v>501339</c:v>
                </c:pt>
                <c:pt idx="9">
                  <c:v>542003</c:v>
                </c:pt>
              </c:numCache>
            </c:numRef>
          </c:val>
        </c:ser>
        <c:ser>
          <c:idx val="2"/>
          <c:order val="2"/>
          <c:tx>
            <c:strRef>
              <c:f>data!$D$233</c:f>
              <c:strCache>
                <c:ptCount val="1"/>
                <c:pt idx="0">
                  <c:v>VISITORS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data!$A$234:$A$243</c:f>
              <c:strCache>
                <c:ptCount val="10"/>
                <c:pt idx="0">
                  <c:v>FY07</c:v>
                </c:pt>
                <c:pt idx="1">
                  <c:v>FY08</c:v>
                </c:pt>
                <c:pt idx="2">
                  <c:v>FY09</c:v>
                </c:pt>
                <c:pt idx="3">
                  <c:v>FY10</c:v>
                </c:pt>
                <c:pt idx="4">
                  <c:v>FY11</c:v>
                </c:pt>
                <c:pt idx="5">
                  <c:v>FY12</c:v>
                </c:pt>
                <c:pt idx="6">
                  <c:v>FY13</c:v>
                </c:pt>
                <c:pt idx="7">
                  <c:v>FY14</c:v>
                </c:pt>
                <c:pt idx="8">
                  <c:v>FY15</c:v>
                </c:pt>
                <c:pt idx="9">
                  <c:v>FY16</c:v>
                </c:pt>
              </c:strCache>
            </c:strRef>
          </c:cat>
          <c:val>
            <c:numRef>
              <c:f>data!$D$234:$D$243</c:f>
              <c:numCache>
                <c:formatCode>General</c:formatCode>
                <c:ptCount val="10"/>
                <c:pt idx="0">
                  <c:v>84470</c:v>
                </c:pt>
                <c:pt idx="1">
                  <c:v>96327</c:v>
                </c:pt>
                <c:pt idx="2">
                  <c:v>109905</c:v>
                </c:pt>
                <c:pt idx="3">
                  <c:v>129351</c:v>
                </c:pt>
                <c:pt idx="4">
                  <c:v>139685</c:v>
                </c:pt>
                <c:pt idx="5">
                  <c:v>106536</c:v>
                </c:pt>
                <c:pt idx="6">
                  <c:v>100981</c:v>
                </c:pt>
                <c:pt idx="7">
                  <c:v>31305</c:v>
                </c:pt>
                <c:pt idx="8">
                  <c:v>35782</c:v>
                </c:pt>
                <c:pt idx="9">
                  <c:v>38903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181049632"/>
        <c:axId val="-181033312"/>
      </c:barChart>
      <c:catAx>
        <c:axId val="-18104963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="1">
                    <a:solidFill>
                      <a:sysClr val="windowText" lastClr="000000"/>
                    </a:solidFill>
                  </a:rPr>
                  <a:t>Fiscal Year</a:t>
                </a:r>
              </a:p>
            </c:rich>
          </c:tx>
          <c:layout>
            <c:manualLayout>
              <c:xMode val="edge"/>
              <c:yMode val="edge"/>
              <c:x val="0.52015726535887796"/>
              <c:y val="0.9286723294805120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81033312"/>
        <c:crosses val="autoZero"/>
        <c:auto val="1"/>
        <c:lblAlgn val="ctr"/>
        <c:lblOffset val="100"/>
        <c:noMultiLvlLbl val="0"/>
      </c:catAx>
      <c:valAx>
        <c:axId val="-1810333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="1">
                    <a:solidFill>
                      <a:sysClr val="windowText" lastClr="000000"/>
                    </a:solidFill>
                  </a:rPr>
                  <a:t>Number </a:t>
                </a:r>
              </a:p>
            </c:rich>
          </c:tx>
          <c:layout>
            <c:manualLayout>
              <c:xMode val="edge"/>
              <c:yMode val="edge"/>
              <c:x val="3.3999234192006499E-3"/>
              <c:y val="0.34661482375315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81049632"/>
        <c:crosses val="autoZero"/>
        <c:crossBetween val="between"/>
      </c:valAx>
      <c:spPr>
        <a:noFill/>
        <a:ln>
          <a:solidFill>
            <a:schemeClr val="bg1">
              <a:lumMod val="50000"/>
            </a:schemeClr>
          </a:solidFill>
        </a:ln>
        <a:effectLst/>
      </c:spPr>
    </c:plotArea>
    <c:legend>
      <c:legendPos val="b"/>
      <c:layout>
        <c:manualLayout>
          <c:xMode val="edge"/>
          <c:yMode val="edge"/>
          <c:x val="0.49433402830789669"/>
          <c:y val="0.17236906895079526"/>
          <c:w val="0.43458209103110301"/>
          <c:h val="7.00697022117758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8982927746641"/>
          <c:y val="0.14901950216041901"/>
          <c:w val="0.85018015139071501"/>
          <c:h val="0.68891197860574704"/>
        </c:manualLayout>
      </c:layout>
      <c:lineChart>
        <c:grouping val="standard"/>
        <c:varyColors val="0"/>
        <c:ser>
          <c:idx val="0"/>
          <c:order val="0"/>
          <c:tx>
            <c:strRef>
              <c:f>data!$I$168</c:f>
              <c:strCache>
                <c:ptCount val="1"/>
                <c:pt idx="0">
                  <c:v>NSIDC</c:v>
                </c:pt>
              </c:strCache>
            </c:strRef>
          </c:tx>
          <c:marker>
            <c:symbol val="none"/>
          </c:marker>
          <c:cat>
            <c:strRef>
              <c:f>data!$A$169:$A$177</c:f>
              <c:strCache>
                <c:ptCount val="9"/>
                <c:pt idx="0">
                  <c:v>FY08</c:v>
                </c:pt>
                <c:pt idx="1">
                  <c:v>FY09</c:v>
                </c:pt>
                <c:pt idx="2">
                  <c:v>FY10</c:v>
                </c:pt>
                <c:pt idx="3">
                  <c:v>FY11</c:v>
                </c:pt>
                <c:pt idx="4">
                  <c:v>FY12</c:v>
                </c:pt>
                <c:pt idx="5">
                  <c:v>FY13</c:v>
                </c:pt>
                <c:pt idx="6">
                  <c:v>FY14</c:v>
                </c:pt>
                <c:pt idx="7">
                  <c:v>FY15</c:v>
                </c:pt>
                <c:pt idx="8">
                  <c:v>FY16</c:v>
                </c:pt>
              </c:strCache>
            </c:strRef>
          </c:cat>
          <c:val>
            <c:numRef>
              <c:f>data!$I$169:$I$177</c:f>
              <c:numCache>
                <c:formatCode>0.0%</c:formatCode>
                <c:ptCount val="9"/>
                <c:pt idx="0">
                  <c:v>2.2101237652255103E-2</c:v>
                </c:pt>
                <c:pt idx="1">
                  <c:v>3.9931447566698966E-3</c:v>
                </c:pt>
                <c:pt idx="2">
                  <c:v>6.7906928177372478E-3</c:v>
                </c:pt>
                <c:pt idx="3">
                  <c:v>1.4999808587129399E-3</c:v>
                </c:pt>
                <c:pt idx="4">
                  <c:v>1.9530765487696666E-2</c:v>
                </c:pt>
                <c:pt idx="5">
                  <c:v>7.6260909433726798E-3</c:v>
                </c:pt>
                <c:pt idx="6">
                  <c:v>2.2872950029919167E-2</c:v>
                </c:pt>
                <c:pt idx="7">
                  <c:v>2.2209925097333938E-2</c:v>
                </c:pt>
                <c:pt idx="8">
                  <c:v>2.2209925097333938E-2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588897872"/>
        <c:axId val="-1588923440"/>
      </c:lineChart>
      <c:catAx>
        <c:axId val="-15888978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Fiscal Year</a:t>
                </a:r>
              </a:p>
            </c:rich>
          </c:tx>
          <c:layout>
            <c:manualLayout>
              <c:xMode val="edge"/>
              <c:yMode val="edge"/>
              <c:x val="0.48422756091902203"/>
              <c:y val="0.91945592070692705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 b="0" baseline="0">
                <a:latin typeface="+mn-lt"/>
                <a:cs typeface="Arial" panose="020B0604020202020204" pitchFamily="34" charset="0"/>
              </a:defRPr>
            </a:pPr>
            <a:endParaRPr lang="en-US"/>
          </a:p>
        </c:txPr>
        <c:crossAx val="-1588923440"/>
        <c:crosses val="autoZero"/>
        <c:auto val="1"/>
        <c:lblAlgn val="ctr"/>
        <c:lblOffset val="100"/>
        <c:noMultiLvlLbl val="0"/>
      </c:catAx>
      <c:valAx>
        <c:axId val="-158892344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Percentage</a:t>
                </a:r>
              </a:p>
            </c:rich>
          </c:tx>
          <c:layout>
            <c:manualLayout>
              <c:xMode val="edge"/>
              <c:yMode val="edge"/>
              <c:x val="4.8473441747445998E-3"/>
              <c:y val="0.36539536980201598"/>
            </c:manualLayout>
          </c:layout>
          <c:overlay val="0"/>
        </c:title>
        <c:numFmt formatCode="0.0%" sourceLinked="0"/>
        <c:majorTickMark val="out"/>
        <c:minorTickMark val="none"/>
        <c:tickLblPos val="nextTo"/>
        <c:txPr>
          <a:bodyPr/>
          <a:lstStyle/>
          <a:p>
            <a:pPr>
              <a:defRPr sz="1200">
                <a:solidFill>
                  <a:sysClr val="windowText" lastClr="000000"/>
                </a:solidFill>
                <a:latin typeface="+mn-lt"/>
                <a:cs typeface="Arial" panose="020B0604020202020204" pitchFamily="34" charset="0"/>
              </a:defRPr>
            </a:pPr>
            <a:endParaRPr lang="en-US"/>
          </a:p>
        </c:txPr>
        <c:crossAx val="-1588897872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0000000000004" l="0.70000000000000095" r="0.70000000000000095" t="0.750000000000004" header="0.3" footer="0.3"/>
    <c:pageSetup/>
  </c:printSettings>
  <c:userShapes r:id="rId1"/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4617039265194"/>
          <c:y val="0.143607581541664"/>
          <c:w val="0.798349496295651"/>
          <c:h val="0.7057685758279259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data!$W$233</c:f>
              <c:strCache>
                <c:ptCount val="1"/>
                <c:pt idx="0">
                  <c:v>VISITS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data!$A$234:$A$243</c:f>
              <c:strCache>
                <c:ptCount val="10"/>
                <c:pt idx="0">
                  <c:v>FY07</c:v>
                </c:pt>
                <c:pt idx="1">
                  <c:v>FY08</c:v>
                </c:pt>
                <c:pt idx="2">
                  <c:v>FY09</c:v>
                </c:pt>
                <c:pt idx="3">
                  <c:v>FY10</c:v>
                </c:pt>
                <c:pt idx="4">
                  <c:v>FY11</c:v>
                </c:pt>
                <c:pt idx="5">
                  <c:v>FY12</c:v>
                </c:pt>
                <c:pt idx="6">
                  <c:v>FY13</c:v>
                </c:pt>
                <c:pt idx="7">
                  <c:v>FY14</c:v>
                </c:pt>
                <c:pt idx="8">
                  <c:v>FY15</c:v>
                </c:pt>
                <c:pt idx="9">
                  <c:v>FY16</c:v>
                </c:pt>
              </c:strCache>
            </c:strRef>
          </c:cat>
          <c:val>
            <c:numRef>
              <c:f>data!$W$234:$W$243</c:f>
              <c:numCache>
                <c:formatCode>General</c:formatCode>
                <c:ptCount val="10"/>
                <c:pt idx="0">
                  <c:v>257646</c:v>
                </c:pt>
                <c:pt idx="1">
                  <c:v>347349</c:v>
                </c:pt>
                <c:pt idx="2">
                  <c:v>440891</c:v>
                </c:pt>
                <c:pt idx="3">
                  <c:v>435375</c:v>
                </c:pt>
                <c:pt idx="4">
                  <c:v>425601</c:v>
                </c:pt>
                <c:pt idx="5">
                  <c:v>536704</c:v>
                </c:pt>
                <c:pt idx="6">
                  <c:v>629406</c:v>
                </c:pt>
                <c:pt idx="7">
                  <c:v>645434</c:v>
                </c:pt>
                <c:pt idx="8">
                  <c:v>729565</c:v>
                </c:pt>
                <c:pt idx="9">
                  <c:v>766328</c:v>
                </c:pt>
              </c:numCache>
            </c:numRef>
          </c:val>
        </c:ser>
        <c:ser>
          <c:idx val="1"/>
          <c:order val="1"/>
          <c:tx>
            <c:strRef>
              <c:f>data!$X$233</c:f>
              <c:strCache>
                <c:ptCount val="1"/>
                <c:pt idx="0">
                  <c:v>VIEWS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data!$A$234:$A$243</c:f>
              <c:strCache>
                <c:ptCount val="10"/>
                <c:pt idx="0">
                  <c:v>FY07</c:v>
                </c:pt>
                <c:pt idx="1">
                  <c:v>FY08</c:v>
                </c:pt>
                <c:pt idx="2">
                  <c:v>FY09</c:v>
                </c:pt>
                <c:pt idx="3">
                  <c:v>FY10</c:v>
                </c:pt>
                <c:pt idx="4">
                  <c:v>FY11</c:v>
                </c:pt>
                <c:pt idx="5">
                  <c:v>FY12</c:v>
                </c:pt>
                <c:pt idx="6">
                  <c:v>FY13</c:v>
                </c:pt>
                <c:pt idx="7">
                  <c:v>FY14</c:v>
                </c:pt>
                <c:pt idx="8">
                  <c:v>FY15</c:v>
                </c:pt>
                <c:pt idx="9">
                  <c:v>FY16</c:v>
                </c:pt>
              </c:strCache>
            </c:strRef>
          </c:cat>
          <c:val>
            <c:numRef>
              <c:f>data!$X$234:$X$243</c:f>
              <c:numCache>
                <c:formatCode>General</c:formatCode>
                <c:ptCount val="10"/>
                <c:pt idx="0">
                  <c:v>2285747</c:v>
                </c:pt>
                <c:pt idx="1">
                  <c:v>2710866</c:v>
                </c:pt>
                <c:pt idx="2">
                  <c:v>3202873</c:v>
                </c:pt>
                <c:pt idx="3">
                  <c:v>2700947</c:v>
                </c:pt>
                <c:pt idx="4">
                  <c:v>3745528</c:v>
                </c:pt>
                <c:pt idx="5">
                  <c:v>3727105</c:v>
                </c:pt>
                <c:pt idx="6">
                  <c:v>3935194</c:v>
                </c:pt>
                <c:pt idx="7">
                  <c:v>3629180</c:v>
                </c:pt>
                <c:pt idx="8">
                  <c:v>4032173</c:v>
                </c:pt>
                <c:pt idx="9">
                  <c:v>3772779</c:v>
                </c:pt>
              </c:numCache>
            </c:numRef>
          </c:val>
        </c:ser>
        <c:ser>
          <c:idx val="2"/>
          <c:order val="2"/>
          <c:tx>
            <c:strRef>
              <c:f>data!$Y$233</c:f>
              <c:strCache>
                <c:ptCount val="1"/>
                <c:pt idx="0">
                  <c:v>VISITORS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data!$A$234:$A$243</c:f>
              <c:strCache>
                <c:ptCount val="10"/>
                <c:pt idx="0">
                  <c:v>FY07</c:v>
                </c:pt>
                <c:pt idx="1">
                  <c:v>FY08</c:v>
                </c:pt>
                <c:pt idx="2">
                  <c:v>FY09</c:v>
                </c:pt>
                <c:pt idx="3">
                  <c:v>FY10</c:v>
                </c:pt>
                <c:pt idx="4">
                  <c:v>FY11</c:v>
                </c:pt>
                <c:pt idx="5">
                  <c:v>FY12</c:v>
                </c:pt>
                <c:pt idx="6">
                  <c:v>FY13</c:v>
                </c:pt>
                <c:pt idx="7">
                  <c:v>FY14</c:v>
                </c:pt>
                <c:pt idx="8">
                  <c:v>FY15</c:v>
                </c:pt>
                <c:pt idx="9">
                  <c:v>FY16</c:v>
                </c:pt>
              </c:strCache>
            </c:strRef>
          </c:cat>
          <c:val>
            <c:numRef>
              <c:f>data!$Y$234:$Y$243</c:f>
              <c:numCache>
                <c:formatCode>General</c:formatCode>
                <c:ptCount val="10"/>
                <c:pt idx="0">
                  <c:v>187325</c:v>
                </c:pt>
                <c:pt idx="1">
                  <c:v>244569</c:v>
                </c:pt>
                <c:pt idx="2">
                  <c:v>289997</c:v>
                </c:pt>
                <c:pt idx="3">
                  <c:v>287305</c:v>
                </c:pt>
                <c:pt idx="4">
                  <c:v>287337</c:v>
                </c:pt>
                <c:pt idx="5">
                  <c:v>356268</c:v>
                </c:pt>
                <c:pt idx="6">
                  <c:v>416514</c:v>
                </c:pt>
                <c:pt idx="7">
                  <c:v>446833</c:v>
                </c:pt>
                <c:pt idx="8">
                  <c:v>505990</c:v>
                </c:pt>
                <c:pt idx="9">
                  <c:v>524620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1588926704"/>
        <c:axId val="-1588922352"/>
      </c:barChart>
      <c:catAx>
        <c:axId val="-15889267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="1">
                    <a:solidFill>
                      <a:sysClr val="windowText" lastClr="000000"/>
                    </a:solidFill>
                  </a:rPr>
                  <a:t>Fiscal Year</a:t>
                </a:r>
              </a:p>
            </c:rich>
          </c:tx>
          <c:layout>
            <c:manualLayout>
              <c:xMode val="edge"/>
              <c:yMode val="edge"/>
              <c:x val="0.52015726535887796"/>
              <c:y val="0.92867232948051204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588922352"/>
        <c:crosses val="autoZero"/>
        <c:auto val="1"/>
        <c:lblAlgn val="ctr"/>
        <c:lblOffset val="100"/>
        <c:noMultiLvlLbl val="0"/>
      </c:catAx>
      <c:valAx>
        <c:axId val="-1588922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="1">
                    <a:solidFill>
                      <a:sysClr val="windowText" lastClr="000000"/>
                    </a:solidFill>
                  </a:rPr>
                  <a:t>Number </a:t>
                </a:r>
              </a:p>
            </c:rich>
          </c:tx>
          <c:layout>
            <c:manualLayout>
              <c:xMode val="edge"/>
              <c:yMode val="edge"/>
              <c:x val="3.3999234192006499E-3"/>
              <c:y val="0.346614823753157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588926704"/>
        <c:crosses val="autoZero"/>
        <c:crossBetween val="between"/>
      </c:valAx>
      <c:spPr>
        <a:noFill/>
        <a:ln>
          <a:solidFill>
            <a:schemeClr val="bg1">
              <a:lumMod val="50000"/>
            </a:schemeClr>
          </a:solidFill>
        </a:ln>
        <a:effectLst/>
      </c:spPr>
    </c:plotArea>
    <c:legend>
      <c:legendPos val="b"/>
      <c:layout>
        <c:manualLayout>
          <c:xMode val="edge"/>
          <c:yMode val="edge"/>
          <c:x val="0.18192297741081526"/>
          <c:y val="0.15908123798250792"/>
          <c:w val="0.43458209103110301"/>
          <c:h val="7.00697022117758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>
                <a:latin typeface="+mn-lt"/>
                <a:cs typeface="Arial" panose="020B0604020202020204" pitchFamily="34" charset="0"/>
              </a:defRPr>
            </a:pPr>
            <a:r>
              <a:rPr lang="en-US"/>
              <a:t>NSIDC Multi-Year Product Distribution Trend</a:t>
            </a:r>
          </a:p>
        </c:rich>
      </c:tx>
      <c:layout>
        <c:manualLayout>
          <c:xMode val="edge"/>
          <c:yMode val="edge"/>
          <c:x val="0.219374642226661"/>
          <c:y val="4.287412256015359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3107657173634"/>
          <c:y val="0.18225294239347301"/>
          <c:w val="0.85726272307204099"/>
          <c:h val="0.6552930766861140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Summary_data!$K$20</c:f>
              <c:strCache>
                <c:ptCount val="1"/>
                <c:pt idx="0">
                  <c:v>NSIDC</c:v>
                </c:pt>
              </c:strCache>
            </c:strRef>
          </c:tx>
          <c:invertIfNegative val="0"/>
          <c:cat>
            <c:strRef>
              <c:f>Summary_data!$C$21:$C$30</c:f>
              <c:strCache>
                <c:ptCount val="10"/>
                <c:pt idx="0">
                  <c:v>FY07</c:v>
                </c:pt>
                <c:pt idx="1">
                  <c:v>FY08</c:v>
                </c:pt>
                <c:pt idx="2">
                  <c:v>FY09</c:v>
                </c:pt>
                <c:pt idx="3">
                  <c:v>FY10</c:v>
                </c:pt>
                <c:pt idx="4">
                  <c:v>FY11</c:v>
                </c:pt>
                <c:pt idx="5">
                  <c:v>FY12</c:v>
                </c:pt>
                <c:pt idx="6">
                  <c:v>FY13</c:v>
                </c:pt>
                <c:pt idx="7">
                  <c:v>FY14</c:v>
                </c:pt>
                <c:pt idx="8">
                  <c:v>FY15</c:v>
                </c:pt>
                <c:pt idx="9">
                  <c:v>FY16</c:v>
                </c:pt>
              </c:strCache>
            </c:strRef>
          </c:cat>
          <c:val>
            <c:numRef>
              <c:f>Summary_data!$K$21:$K$30</c:f>
              <c:numCache>
                <c:formatCode>_(* #,##0.0_);_(* \(#,##0.0\);_(* "-"??_);_(@_)</c:formatCode>
                <c:ptCount val="10"/>
                <c:pt idx="0">
                  <c:v>0.64234100000000005</c:v>
                </c:pt>
                <c:pt idx="1">
                  <c:v>10.732725</c:v>
                </c:pt>
                <c:pt idx="2">
                  <c:v>17.247733</c:v>
                </c:pt>
                <c:pt idx="3">
                  <c:v>22.897912999999999</c:v>
                </c:pt>
                <c:pt idx="4">
                  <c:v>20.180631999999999</c:v>
                </c:pt>
                <c:pt idx="5">
                  <c:v>24.339347</c:v>
                </c:pt>
                <c:pt idx="6">
                  <c:v>38.223084999999998</c:v>
                </c:pt>
                <c:pt idx="7">
                  <c:v>67.730322000000001</c:v>
                </c:pt>
                <c:pt idx="8">
                  <c:v>70.647366000000005</c:v>
                </c:pt>
                <c:pt idx="9">
                  <c:v>82.185432000000006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588920720"/>
        <c:axId val="-1588954448"/>
      </c:barChart>
      <c:catAx>
        <c:axId val="-15889207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Fiscal Year</a:t>
                </a:r>
              </a:p>
            </c:rich>
          </c:tx>
          <c:layout>
            <c:manualLayout>
              <c:xMode val="edge"/>
              <c:yMode val="edge"/>
              <c:x val="0.51269424232162897"/>
              <c:y val="0.91856945601153805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 b="0" baseline="0">
                <a:latin typeface="+mn-lt"/>
                <a:cs typeface="Arial" panose="020B0604020202020204" pitchFamily="34" charset="0"/>
              </a:defRPr>
            </a:pPr>
            <a:endParaRPr lang="en-US"/>
          </a:p>
        </c:txPr>
        <c:crossAx val="-1588954448"/>
        <c:crosses val="autoZero"/>
        <c:auto val="1"/>
        <c:lblAlgn val="ctr"/>
        <c:lblOffset val="100"/>
        <c:noMultiLvlLbl val="0"/>
      </c:catAx>
      <c:valAx>
        <c:axId val="-158895444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Product Distributed (Millions)</a:t>
                </a:r>
              </a:p>
            </c:rich>
          </c:tx>
          <c:layout>
            <c:manualLayout>
              <c:xMode val="edge"/>
              <c:yMode val="edge"/>
              <c:x val="1.6285028493567399E-2"/>
              <c:y val="0.17328868888728299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1200">
                <a:latin typeface="+mn-lt"/>
                <a:cs typeface="Arial" panose="020B0604020202020204" pitchFamily="34" charset="0"/>
              </a:defRPr>
            </a:pPr>
            <a:endParaRPr lang="en-US"/>
          </a:p>
        </c:txPr>
        <c:crossAx val="-1588920720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0000000000004" l="0.70000000000000095" r="0.70000000000000095" t="0.750000000000004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>
                <a:latin typeface="+mn-lt"/>
                <a:cs typeface="Arial" panose="020B0604020202020204" pitchFamily="34" charset="0"/>
              </a:defRPr>
            </a:pPr>
            <a:r>
              <a:rPr lang="en-US"/>
              <a:t>OB.DAAC</a:t>
            </a:r>
            <a:r>
              <a:rPr lang="en-US" baseline="0"/>
              <a:t> </a:t>
            </a:r>
            <a:r>
              <a:rPr lang="en-US"/>
              <a:t> Multi-Year Total Archive Volume Trend</a:t>
            </a:r>
          </a:p>
        </c:rich>
      </c:tx>
      <c:layout>
        <c:manualLayout>
          <c:xMode val="edge"/>
          <c:yMode val="edge"/>
          <c:x val="0.223544133657093"/>
          <c:y val="3.841216417989099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56188786714438"/>
          <c:y val="0.18228668594254499"/>
          <c:w val="0.80487043883359"/>
          <c:h val="0.65076746334831104"/>
        </c:manualLayout>
      </c:layout>
      <c:barChart>
        <c:barDir val="col"/>
        <c:grouping val="clustered"/>
        <c:varyColors val="0"/>
        <c:ser>
          <c:idx val="8"/>
          <c:order val="0"/>
          <c:tx>
            <c:strRef>
              <c:f>data!$J$156</c:f>
              <c:strCache>
                <c:ptCount val="1"/>
                <c:pt idx="0">
                  <c:v>OB.DAAC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invertIfNegative val="0"/>
          <c:cat>
            <c:strRef>
              <c:f>data!$A$157:$A$165</c:f>
              <c:strCache>
                <c:ptCount val="9"/>
                <c:pt idx="0">
                  <c:v>FY08</c:v>
                </c:pt>
                <c:pt idx="1">
                  <c:v>FY09</c:v>
                </c:pt>
                <c:pt idx="2">
                  <c:v>FY10</c:v>
                </c:pt>
                <c:pt idx="3">
                  <c:v>FY11</c:v>
                </c:pt>
                <c:pt idx="4">
                  <c:v>FY12</c:v>
                </c:pt>
                <c:pt idx="5">
                  <c:v>FY13</c:v>
                </c:pt>
                <c:pt idx="6">
                  <c:v>FY14</c:v>
                </c:pt>
                <c:pt idx="7">
                  <c:v>FY15</c:v>
                </c:pt>
                <c:pt idx="8">
                  <c:v>FY16</c:v>
                </c:pt>
              </c:strCache>
            </c:strRef>
          </c:cat>
          <c:val>
            <c:numRef>
              <c:f>data!$J$157:$J$165</c:f>
              <c:numCache>
                <c:formatCode>_(* #,##0.00_);_(* \(#,##0.00\);_(* "-"??_);_(@_)</c:formatCode>
                <c:ptCount val="9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588937584"/>
        <c:axId val="-1588945744"/>
      </c:barChart>
      <c:catAx>
        <c:axId val="-15889375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Fiscal Year</a:t>
                </a:r>
              </a:p>
            </c:rich>
          </c:tx>
          <c:layout>
            <c:manualLayout>
              <c:xMode val="edge"/>
              <c:yMode val="edge"/>
              <c:x val="0.49999567596515698"/>
              <c:y val="0.91411120752953801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 b="0" baseline="0">
                <a:latin typeface="+mn-lt"/>
                <a:cs typeface="Arial" panose="020B0604020202020204" pitchFamily="34" charset="0"/>
              </a:defRPr>
            </a:pPr>
            <a:endParaRPr lang="en-US"/>
          </a:p>
        </c:txPr>
        <c:crossAx val="-1588945744"/>
        <c:crosses val="autoZero"/>
        <c:auto val="1"/>
        <c:lblAlgn val="ctr"/>
        <c:lblOffset val="100"/>
        <c:noMultiLvlLbl val="0"/>
      </c:catAx>
      <c:valAx>
        <c:axId val="-158894574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Volume (TB)</a:t>
                </a:r>
              </a:p>
            </c:rich>
          </c:tx>
          <c:layout>
            <c:manualLayout>
              <c:xMode val="edge"/>
              <c:yMode val="edge"/>
              <c:x val="1.62849872773537E-2"/>
              <c:y val="0.34790157257870402"/>
            </c:manualLayout>
          </c:layout>
          <c:overlay val="0"/>
        </c:title>
        <c:numFmt formatCode="#,##0.0" sourceLinked="0"/>
        <c:majorTickMark val="out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1200">
                <a:latin typeface="+mn-lt"/>
                <a:cs typeface="Arial" panose="020B0604020202020204" pitchFamily="34" charset="0"/>
              </a:defRPr>
            </a:pPr>
            <a:endParaRPr lang="en-US"/>
          </a:p>
        </c:txPr>
        <c:crossAx val="-1588937584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0000000000004" l="0.70000000000000095" r="0.70000000000000095" t="0.750000000000004" header="0.3" footer="0.3"/>
    <c:pageSetup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8982927746641"/>
          <c:y val="0.14901950216041901"/>
          <c:w val="0.85018015139071501"/>
          <c:h val="0.68891197860574704"/>
        </c:manualLayout>
      </c:layout>
      <c:lineChart>
        <c:grouping val="standard"/>
        <c:varyColors val="0"/>
        <c:ser>
          <c:idx val="8"/>
          <c:order val="0"/>
          <c:tx>
            <c:strRef>
              <c:f>data!$J$168</c:f>
              <c:strCache>
                <c:ptCount val="1"/>
                <c:pt idx="0">
                  <c:v>OB.DAAC</c:v>
                </c:pt>
              </c:strCache>
            </c:strRef>
          </c:tx>
          <c:marker>
            <c:symbol val="none"/>
          </c:marker>
          <c:cat>
            <c:strRef>
              <c:f>data!$A$169:$A$177</c:f>
              <c:strCache>
                <c:ptCount val="9"/>
                <c:pt idx="0">
                  <c:v>FY08</c:v>
                </c:pt>
                <c:pt idx="1">
                  <c:v>FY09</c:v>
                </c:pt>
                <c:pt idx="2">
                  <c:v>FY10</c:v>
                </c:pt>
                <c:pt idx="3">
                  <c:v>FY11</c:v>
                </c:pt>
                <c:pt idx="4">
                  <c:v>FY12</c:v>
                </c:pt>
                <c:pt idx="5">
                  <c:v>FY13</c:v>
                </c:pt>
                <c:pt idx="6">
                  <c:v>FY14</c:v>
                </c:pt>
                <c:pt idx="7">
                  <c:v>FY15</c:v>
                </c:pt>
                <c:pt idx="8">
                  <c:v>FY16</c:v>
                </c:pt>
              </c:strCache>
            </c:strRef>
          </c:cat>
          <c:val>
            <c:numRef>
              <c:f>data!$J$169:$J$177</c:f>
              <c:numCache>
                <c:formatCode>0.0%</c:formatCode>
                <c:ptCount val="9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588937040"/>
        <c:axId val="-1588940304"/>
      </c:lineChart>
      <c:catAx>
        <c:axId val="-15889370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Fiscal Year</a:t>
                </a:r>
              </a:p>
            </c:rich>
          </c:tx>
          <c:layout>
            <c:manualLayout>
              <c:xMode val="edge"/>
              <c:yMode val="edge"/>
              <c:x val="0.48422756091902203"/>
              <c:y val="0.91945592070692705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 b="0" baseline="0">
                <a:latin typeface="+mn-lt"/>
                <a:cs typeface="Arial" panose="020B0604020202020204" pitchFamily="34" charset="0"/>
              </a:defRPr>
            </a:pPr>
            <a:endParaRPr lang="en-US"/>
          </a:p>
        </c:txPr>
        <c:crossAx val="-1588940304"/>
        <c:crosses val="autoZero"/>
        <c:auto val="1"/>
        <c:lblAlgn val="ctr"/>
        <c:lblOffset val="100"/>
        <c:noMultiLvlLbl val="0"/>
      </c:catAx>
      <c:valAx>
        <c:axId val="-1588940304"/>
        <c:scaling>
          <c:orientation val="minMax"/>
          <c:max val="2.0000000000000004E-2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Percentage</a:t>
                </a:r>
              </a:p>
            </c:rich>
          </c:tx>
          <c:layout>
            <c:manualLayout>
              <c:xMode val="edge"/>
              <c:yMode val="edge"/>
              <c:x val="4.8473441747445998E-3"/>
              <c:y val="0.36539536980201598"/>
            </c:manualLayout>
          </c:layout>
          <c:overlay val="0"/>
        </c:title>
        <c:numFmt formatCode="0.0%" sourceLinked="0"/>
        <c:majorTickMark val="out"/>
        <c:minorTickMark val="none"/>
        <c:tickLblPos val="nextTo"/>
        <c:txPr>
          <a:bodyPr/>
          <a:lstStyle/>
          <a:p>
            <a:pPr>
              <a:defRPr sz="1200">
                <a:solidFill>
                  <a:sysClr val="windowText" lastClr="000000"/>
                </a:solidFill>
                <a:latin typeface="+mn-lt"/>
                <a:cs typeface="Arial" panose="020B0604020202020204" pitchFamily="34" charset="0"/>
              </a:defRPr>
            </a:pPr>
            <a:endParaRPr lang="en-US"/>
          </a:p>
        </c:txPr>
        <c:crossAx val="-1588937040"/>
        <c:crosses val="autoZero"/>
        <c:crossBetween val="between"/>
        <c:majorUnit val="5.000000000000001E-3"/>
      </c:valAx>
      <c:spPr>
        <a:ln>
          <a:solidFill>
            <a:schemeClr val="bg1">
              <a:lumMod val="50000"/>
            </a:schemeClr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0000000000004" l="0.70000000000000095" r="0.70000000000000095" t="0.750000000000004" header="0.3" footer="0.3"/>
    <c:pageSetup/>
  </c:printSettings>
  <c:userShapes r:id="rId1"/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4617039265194"/>
          <c:y val="0.143607581541664"/>
          <c:w val="0.798349496295651"/>
          <c:h val="0.70576857582792596"/>
        </c:manualLayout>
      </c:layout>
      <c:barChart>
        <c:barDir val="col"/>
        <c:grouping val="clustered"/>
        <c:varyColors val="0"/>
        <c:ser>
          <c:idx val="34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data!$A$233:$A$243</c:f>
              <c:strCache>
                <c:ptCount val="11"/>
                <c:pt idx="0">
                  <c:v>Fiscal year</c:v>
                </c:pt>
                <c:pt idx="1">
                  <c:v>FY07</c:v>
                </c:pt>
                <c:pt idx="2">
                  <c:v>FY08</c:v>
                </c:pt>
                <c:pt idx="3">
                  <c:v>FY09</c:v>
                </c:pt>
                <c:pt idx="4">
                  <c:v>FY10</c:v>
                </c:pt>
                <c:pt idx="5">
                  <c:v>FY11</c:v>
                </c:pt>
                <c:pt idx="6">
                  <c:v>FY12</c:v>
                </c:pt>
                <c:pt idx="7">
                  <c:v>FY13</c:v>
                </c:pt>
                <c:pt idx="8">
                  <c:v>FY14</c:v>
                </c:pt>
                <c:pt idx="9">
                  <c:v>FY15</c:v>
                </c:pt>
                <c:pt idx="10">
                  <c:v>FY16</c:v>
                </c:pt>
              </c:strCache>
            </c:strRef>
          </c:cat>
          <c:val>
            <c:numRef>
              <c:f>data!$AJ$233:$AJ$243</c:f>
              <c:numCache>
                <c:formatCode>General</c:formatCode>
                <c:ptCount val="11"/>
              </c:numCache>
            </c:numRef>
          </c:val>
        </c:ser>
        <c:ser>
          <c:idx val="35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data!$A$233:$A$243</c:f>
              <c:strCache>
                <c:ptCount val="11"/>
                <c:pt idx="0">
                  <c:v>Fiscal year</c:v>
                </c:pt>
                <c:pt idx="1">
                  <c:v>FY07</c:v>
                </c:pt>
                <c:pt idx="2">
                  <c:v>FY08</c:v>
                </c:pt>
                <c:pt idx="3">
                  <c:v>FY09</c:v>
                </c:pt>
                <c:pt idx="4">
                  <c:v>FY10</c:v>
                </c:pt>
                <c:pt idx="5">
                  <c:v>FY11</c:v>
                </c:pt>
                <c:pt idx="6">
                  <c:v>FY12</c:v>
                </c:pt>
                <c:pt idx="7">
                  <c:v>FY13</c:v>
                </c:pt>
                <c:pt idx="8">
                  <c:v>FY14</c:v>
                </c:pt>
                <c:pt idx="9">
                  <c:v>FY15</c:v>
                </c:pt>
                <c:pt idx="10">
                  <c:v>FY16</c:v>
                </c:pt>
              </c:strCache>
            </c:strRef>
          </c:cat>
          <c:val>
            <c:numRef>
              <c:f>data!$AK$233:$AK$243</c:f>
              <c:numCache>
                <c:formatCode>General</c:formatCode>
                <c:ptCount val="11"/>
              </c:numCache>
            </c:numRef>
          </c:val>
        </c:ser>
        <c:ser>
          <c:idx val="36"/>
          <c:order val="2"/>
          <c:invertIfNegative val="0"/>
          <c:cat>
            <c:strRef>
              <c:f>data!$A$233:$A$243</c:f>
              <c:strCache>
                <c:ptCount val="11"/>
                <c:pt idx="0">
                  <c:v>Fiscal year</c:v>
                </c:pt>
                <c:pt idx="1">
                  <c:v>FY07</c:v>
                </c:pt>
                <c:pt idx="2">
                  <c:v>FY08</c:v>
                </c:pt>
                <c:pt idx="3">
                  <c:v>FY09</c:v>
                </c:pt>
                <c:pt idx="4">
                  <c:v>FY10</c:v>
                </c:pt>
                <c:pt idx="5">
                  <c:v>FY11</c:v>
                </c:pt>
                <c:pt idx="6">
                  <c:v>FY12</c:v>
                </c:pt>
                <c:pt idx="7">
                  <c:v>FY13</c:v>
                </c:pt>
                <c:pt idx="8">
                  <c:v>FY14</c:v>
                </c:pt>
                <c:pt idx="9">
                  <c:v>FY15</c:v>
                </c:pt>
                <c:pt idx="10">
                  <c:v>FY16</c:v>
                </c:pt>
              </c:strCache>
            </c:strRef>
          </c:cat>
          <c:val>
            <c:numRef>
              <c:f>data!$AL$233:$AL$243</c:f>
              <c:numCache>
                <c:formatCode>General</c:formatCode>
                <c:ptCount val="11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1588953360"/>
        <c:axId val="-1588947376"/>
      </c:barChart>
      <c:catAx>
        <c:axId val="-158895336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="1">
                    <a:solidFill>
                      <a:sysClr val="windowText" lastClr="000000"/>
                    </a:solidFill>
                  </a:rPr>
                  <a:t>Fiscal Year</a:t>
                </a:r>
              </a:p>
            </c:rich>
          </c:tx>
          <c:layout>
            <c:manualLayout>
              <c:xMode val="edge"/>
              <c:yMode val="edge"/>
              <c:x val="0.52015726535887796"/>
              <c:y val="0.92867232948051204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588947376"/>
        <c:crosses val="autoZero"/>
        <c:auto val="1"/>
        <c:lblAlgn val="ctr"/>
        <c:lblOffset val="100"/>
        <c:noMultiLvlLbl val="0"/>
      </c:catAx>
      <c:valAx>
        <c:axId val="-15889473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="1">
                    <a:solidFill>
                      <a:sysClr val="windowText" lastClr="000000"/>
                    </a:solidFill>
                  </a:rPr>
                  <a:t>Number </a:t>
                </a:r>
              </a:p>
            </c:rich>
          </c:tx>
          <c:layout>
            <c:manualLayout>
              <c:xMode val="edge"/>
              <c:yMode val="edge"/>
              <c:x val="3.3999234192006499E-3"/>
              <c:y val="0.346614823753157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.0" sourceLinked="0"/>
        <c:majorTickMark val="out"/>
        <c:minorTickMark val="none"/>
        <c:tickLblPos val="nextTo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588953360"/>
        <c:crosses val="autoZero"/>
        <c:crossBetween val="between"/>
      </c:valAx>
      <c:spPr>
        <a:noFill/>
        <a:ln>
          <a:solidFill>
            <a:schemeClr val="bg1">
              <a:lumMod val="50000"/>
            </a:schemeClr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>
                <a:latin typeface="+mn-lt"/>
                <a:cs typeface="Arial" panose="020B0604020202020204" pitchFamily="34" charset="0"/>
              </a:defRPr>
            </a:pPr>
            <a:r>
              <a:rPr lang="en-US"/>
              <a:t>OB.DAAC Multi-Year Product Distribution Trend</a:t>
            </a:r>
          </a:p>
        </c:rich>
      </c:tx>
      <c:layout>
        <c:manualLayout>
          <c:xMode val="edge"/>
          <c:yMode val="edge"/>
          <c:x val="0.219374642226661"/>
          <c:y val="4.287412256015359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3107657173634"/>
          <c:y val="0.18225294239347301"/>
          <c:w val="0.85726272307204099"/>
          <c:h val="0.6552930766861140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Summary_data!$L$20</c:f>
              <c:strCache>
                <c:ptCount val="1"/>
                <c:pt idx="0">
                  <c:v>OB.DAAC</c:v>
                </c:pt>
              </c:strCache>
            </c:strRef>
          </c:tx>
          <c:invertIfNegative val="0"/>
          <c:cat>
            <c:strRef>
              <c:f>Summary_data!$C$21:$C$30</c:f>
              <c:strCache>
                <c:ptCount val="10"/>
                <c:pt idx="0">
                  <c:v>FY07</c:v>
                </c:pt>
                <c:pt idx="1">
                  <c:v>FY08</c:v>
                </c:pt>
                <c:pt idx="2">
                  <c:v>FY09</c:v>
                </c:pt>
                <c:pt idx="3">
                  <c:v>FY10</c:v>
                </c:pt>
                <c:pt idx="4">
                  <c:v>FY11</c:v>
                </c:pt>
                <c:pt idx="5">
                  <c:v>FY12</c:v>
                </c:pt>
                <c:pt idx="6">
                  <c:v>FY13</c:v>
                </c:pt>
                <c:pt idx="7">
                  <c:v>FY14</c:v>
                </c:pt>
                <c:pt idx="8">
                  <c:v>FY15</c:v>
                </c:pt>
                <c:pt idx="9">
                  <c:v>FY16</c:v>
                </c:pt>
              </c:strCache>
            </c:strRef>
          </c:cat>
          <c:val>
            <c:numRef>
              <c:f>Summary_data!$L$21:$L$30</c:f>
              <c:numCache>
                <c:formatCode>_(* #,##0.0_);_(* \(#,##0.0\);_(* "-"??_);_(@_)</c:formatCode>
                <c:ptCount val="10"/>
                <c:pt idx="0">
                  <c:v>0</c:v>
                </c:pt>
                <c:pt idx="1">
                  <c:v>10.672893999999999</c:v>
                </c:pt>
                <c:pt idx="2">
                  <c:v>8.655132</c:v>
                </c:pt>
                <c:pt idx="3">
                  <c:v>12.42596</c:v>
                </c:pt>
                <c:pt idx="4">
                  <c:v>20.538207</c:v>
                </c:pt>
                <c:pt idx="5">
                  <c:v>16.768246000000001</c:v>
                </c:pt>
                <c:pt idx="6">
                  <c:v>18.293759999999999</c:v>
                </c:pt>
                <c:pt idx="7">
                  <c:v>27.464272000000001</c:v>
                </c:pt>
                <c:pt idx="8">
                  <c:v>56.956518000000003</c:v>
                </c:pt>
                <c:pt idx="9">
                  <c:v>65.432243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588933232"/>
        <c:axId val="-1588953904"/>
      </c:barChart>
      <c:catAx>
        <c:axId val="-15889332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Fiscal Year</a:t>
                </a:r>
              </a:p>
            </c:rich>
          </c:tx>
          <c:layout>
            <c:manualLayout>
              <c:xMode val="edge"/>
              <c:yMode val="edge"/>
              <c:x val="0.51269424232162897"/>
              <c:y val="0.91856945601153805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 b="0" baseline="0">
                <a:latin typeface="+mn-lt"/>
                <a:cs typeface="Arial" panose="020B0604020202020204" pitchFamily="34" charset="0"/>
              </a:defRPr>
            </a:pPr>
            <a:endParaRPr lang="en-US"/>
          </a:p>
        </c:txPr>
        <c:crossAx val="-1588953904"/>
        <c:crosses val="autoZero"/>
        <c:auto val="1"/>
        <c:lblAlgn val="ctr"/>
        <c:lblOffset val="100"/>
        <c:noMultiLvlLbl val="0"/>
      </c:catAx>
      <c:valAx>
        <c:axId val="-158895390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Product Distributed (Millions)</a:t>
                </a:r>
              </a:p>
            </c:rich>
          </c:tx>
          <c:layout>
            <c:manualLayout>
              <c:xMode val="edge"/>
              <c:yMode val="edge"/>
              <c:x val="1.6285028493567399E-2"/>
              <c:y val="0.17328868888728299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1200">
                <a:latin typeface="+mn-lt"/>
                <a:cs typeface="Arial" panose="020B0604020202020204" pitchFamily="34" charset="0"/>
              </a:defRPr>
            </a:pPr>
            <a:endParaRPr lang="en-US"/>
          </a:p>
        </c:txPr>
        <c:crossAx val="-1588933232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0000000000004" l="0.70000000000000095" r="0.70000000000000095" t="0.750000000000004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>
                <a:latin typeface="+mn-lt"/>
                <a:cs typeface="Arial" panose="020B0604020202020204" pitchFamily="34" charset="0"/>
              </a:defRPr>
            </a:pPr>
            <a:r>
              <a:rPr lang="en-US"/>
              <a:t>ORNL Multi-Year Total Archive Volume Trend</a:t>
            </a:r>
          </a:p>
        </c:rich>
      </c:tx>
      <c:layout>
        <c:manualLayout>
          <c:xMode val="edge"/>
          <c:yMode val="edge"/>
          <c:x val="0.223544133657093"/>
          <c:y val="3.841216417989099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56188786714438"/>
          <c:y val="0.18228668594254499"/>
          <c:w val="0.80487043883359"/>
          <c:h val="0.6507674633483110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data!$K$156</c:f>
              <c:strCache>
                <c:ptCount val="1"/>
                <c:pt idx="0">
                  <c:v>ORNL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invertIfNegative val="0"/>
          <c:cat>
            <c:strRef>
              <c:f>data!$A$157:$A$165</c:f>
              <c:strCache>
                <c:ptCount val="9"/>
                <c:pt idx="0">
                  <c:v>FY08</c:v>
                </c:pt>
                <c:pt idx="1">
                  <c:v>FY09</c:v>
                </c:pt>
                <c:pt idx="2">
                  <c:v>FY10</c:v>
                </c:pt>
                <c:pt idx="3">
                  <c:v>FY11</c:v>
                </c:pt>
                <c:pt idx="4">
                  <c:v>FY12</c:v>
                </c:pt>
                <c:pt idx="5">
                  <c:v>FY13</c:v>
                </c:pt>
                <c:pt idx="6">
                  <c:v>FY14</c:v>
                </c:pt>
                <c:pt idx="7">
                  <c:v>FY15</c:v>
                </c:pt>
                <c:pt idx="8">
                  <c:v>FY16</c:v>
                </c:pt>
              </c:strCache>
            </c:strRef>
          </c:cat>
          <c:val>
            <c:numRef>
              <c:f>data!$K$157:$K$165</c:f>
              <c:numCache>
                <c:formatCode>_(* #,##0.00_);_(* \(#,##0.00\);_(* "-"??_);_(@_)</c:formatCode>
                <c:ptCount val="9"/>
                <c:pt idx="1">
                  <c:v>0.38700000000000001</c:v>
                </c:pt>
                <c:pt idx="2">
                  <c:v>0.41019058227539063</c:v>
                </c:pt>
                <c:pt idx="3">
                  <c:v>4.6073242187500002E-2</c:v>
                </c:pt>
                <c:pt idx="4">
                  <c:v>0.615234375</c:v>
                </c:pt>
                <c:pt idx="5">
                  <c:v>143.19999999999999</c:v>
                </c:pt>
                <c:pt idx="6">
                  <c:v>175.490234375</c:v>
                </c:pt>
                <c:pt idx="7">
                  <c:v>183.447265625</c:v>
                </c:pt>
                <c:pt idx="8">
                  <c:v>197.0810546875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588957168"/>
        <c:axId val="-1588957712"/>
      </c:barChart>
      <c:catAx>
        <c:axId val="-15889571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Fiscal Year</a:t>
                </a:r>
              </a:p>
            </c:rich>
          </c:tx>
          <c:layout>
            <c:manualLayout>
              <c:xMode val="edge"/>
              <c:yMode val="edge"/>
              <c:x val="0.49999567596515698"/>
              <c:y val="0.91411120752953801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 b="0" baseline="0">
                <a:latin typeface="+mn-lt"/>
                <a:cs typeface="Arial" panose="020B0604020202020204" pitchFamily="34" charset="0"/>
              </a:defRPr>
            </a:pPr>
            <a:endParaRPr lang="en-US"/>
          </a:p>
        </c:txPr>
        <c:crossAx val="-1588957712"/>
        <c:crosses val="autoZero"/>
        <c:auto val="1"/>
        <c:lblAlgn val="ctr"/>
        <c:lblOffset val="100"/>
        <c:noMultiLvlLbl val="0"/>
      </c:catAx>
      <c:valAx>
        <c:axId val="-158895771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Volume (TB)</a:t>
                </a:r>
              </a:p>
            </c:rich>
          </c:tx>
          <c:layout>
            <c:manualLayout>
              <c:xMode val="edge"/>
              <c:yMode val="edge"/>
              <c:x val="1.62849872773537E-2"/>
              <c:y val="0.34790157257870402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1200">
                <a:latin typeface="+mn-lt"/>
                <a:cs typeface="Arial" panose="020B0604020202020204" pitchFamily="34" charset="0"/>
              </a:defRPr>
            </a:pPr>
            <a:endParaRPr lang="en-US"/>
          </a:p>
        </c:txPr>
        <c:crossAx val="-1588957168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0000000000004" l="0.70000000000000095" r="0.70000000000000095" t="0.750000000000004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898289544528147"/>
          <c:y val="0.14901950216041901"/>
          <c:w val="0.85018021090100049"/>
          <c:h val="0.68891197860574704"/>
        </c:manualLayout>
      </c:layout>
      <c:lineChart>
        <c:grouping val="standard"/>
        <c:varyColors val="0"/>
        <c:ser>
          <c:idx val="0"/>
          <c:order val="0"/>
          <c:tx>
            <c:strRef>
              <c:f>data!$K$168</c:f>
              <c:strCache>
                <c:ptCount val="1"/>
                <c:pt idx="0">
                  <c:v>ORNL</c:v>
                </c:pt>
              </c:strCache>
            </c:strRef>
          </c:tx>
          <c:marker>
            <c:symbol val="none"/>
          </c:marker>
          <c:cat>
            <c:strRef>
              <c:f>data!$A$169:$A$177</c:f>
              <c:strCache>
                <c:ptCount val="9"/>
                <c:pt idx="0">
                  <c:v>FY08</c:v>
                </c:pt>
                <c:pt idx="1">
                  <c:v>FY09</c:v>
                </c:pt>
                <c:pt idx="2">
                  <c:v>FY10</c:v>
                </c:pt>
                <c:pt idx="3">
                  <c:v>FY11</c:v>
                </c:pt>
                <c:pt idx="4">
                  <c:v>FY12</c:v>
                </c:pt>
                <c:pt idx="5">
                  <c:v>FY13</c:v>
                </c:pt>
                <c:pt idx="6">
                  <c:v>FY14</c:v>
                </c:pt>
                <c:pt idx="7">
                  <c:v>FY15</c:v>
                </c:pt>
                <c:pt idx="8">
                  <c:v>FY16</c:v>
                </c:pt>
              </c:strCache>
            </c:strRef>
          </c:cat>
          <c:val>
            <c:numRef>
              <c:f>data!$K$169:$K$177</c:f>
              <c:numCache>
                <c:formatCode>0.0%</c:formatCode>
                <c:ptCount val="9"/>
                <c:pt idx="0">
                  <c:v>0.20388598818796541</c:v>
                </c:pt>
                <c:pt idx="1">
                  <c:v>0.23837126091312438</c:v>
                </c:pt>
                <c:pt idx="2">
                  <c:v>0.31703153988868277</c:v>
                </c:pt>
                <c:pt idx="3">
                  <c:v>0.38507605701281589</c:v>
                </c:pt>
                <c:pt idx="4">
                  <c:v>0.35461946373889014</c:v>
                </c:pt>
                <c:pt idx="5">
                  <c:v>0.38641611593279718</c:v>
                </c:pt>
                <c:pt idx="6">
                  <c:v>0.38235742604452577</c:v>
                </c:pt>
                <c:pt idx="7">
                  <c:v>0.3804569942411295</c:v>
                </c:pt>
                <c:pt idx="8">
                  <c:v>0.3804569942411295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588936496"/>
        <c:axId val="-1588961520"/>
      </c:lineChart>
      <c:catAx>
        <c:axId val="-15889364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Fiscal Year</a:t>
                </a:r>
              </a:p>
            </c:rich>
          </c:tx>
          <c:layout>
            <c:manualLayout>
              <c:xMode val="edge"/>
              <c:yMode val="edge"/>
              <c:x val="0.48422756091902203"/>
              <c:y val="0.91945592070692705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 b="0" baseline="0">
                <a:latin typeface="+mn-lt"/>
                <a:cs typeface="Arial" panose="020B0604020202020204" pitchFamily="34" charset="0"/>
              </a:defRPr>
            </a:pPr>
            <a:endParaRPr lang="en-US"/>
          </a:p>
        </c:txPr>
        <c:crossAx val="-1588961520"/>
        <c:crosses val="autoZero"/>
        <c:auto val="1"/>
        <c:lblAlgn val="ctr"/>
        <c:lblOffset val="100"/>
        <c:noMultiLvlLbl val="0"/>
      </c:catAx>
      <c:valAx>
        <c:axId val="-158896152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Percentage</a:t>
                </a:r>
              </a:p>
            </c:rich>
          </c:tx>
          <c:layout>
            <c:manualLayout>
              <c:xMode val="edge"/>
              <c:yMode val="edge"/>
              <c:x val="4.8473441747445998E-3"/>
              <c:y val="0.36539536980201598"/>
            </c:manualLayout>
          </c:layout>
          <c:overlay val="0"/>
        </c:title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sz="1200">
                <a:solidFill>
                  <a:sysClr val="windowText" lastClr="000000"/>
                </a:solidFill>
                <a:latin typeface="+mn-lt"/>
                <a:cs typeface="Arial" panose="020B0604020202020204" pitchFamily="34" charset="0"/>
              </a:defRPr>
            </a:pPr>
            <a:endParaRPr lang="en-US"/>
          </a:p>
        </c:txPr>
        <c:crossAx val="-1588936496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0000000000004" l="0.70000000000000095" r="0.70000000000000095" t="0.750000000000004" header="0.3" footer="0.3"/>
    <c:pageSetup/>
  </c:printSettings>
  <c:userShapes r:id="rId1"/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4617039265194"/>
          <c:y val="0.143607581541664"/>
          <c:w val="0.798349496295651"/>
          <c:h val="0.7057685758279259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data!$Z$233</c:f>
              <c:strCache>
                <c:ptCount val="1"/>
                <c:pt idx="0">
                  <c:v>VISITS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data!$A$234:$A$243</c:f>
              <c:strCache>
                <c:ptCount val="10"/>
                <c:pt idx="0">
                  <c:v>FY07</c:v>
                </c:pt>
                <c:pt idx="1">
                  <c:v>FY08</c:v>
                </c:pt>
                <c:pt idx="2">
                  <c:v>FY09</c:v>
                </c:pt>
                <c:pt idx="3">
                  <c:v>FY10</c:v>
                </c:pt>
                <c:pt idx="4">
                  <c:v>FY11</c:v>
                </c:pt>
                <c:pt idx="5">
                  <c:v>FY12</c:v>
                </c:pt>
                <c:pt idx="6">
                  <c:v>FY13</c:v>
                </c:pt>
                <c:pt idx="7">
                  <c:v>FY14</c:v>
                </c:pt>
                <c:pt idx="8">
                  <c:v>FY15</c:v>
                </c:pt>
                <c:pt idx="9">
                  <c:v>FY16</c:v>
                </c:pt>
              </c:strCache>
            </c:strRef>
          </c:cat>
          <c:val>
            <c:numRef>
              <c:f>data!$Z$234:$Z$243</c:f>
              <c:numCache>
                <c:formatCode>General</c:formatCode>
                <c:ptCount val="10"/>
                <c:pt idx="0">
                  <c:v>11242</c:v>
                </c:pt>
                <c:pt idx="1">
                  <c:v>16433</c:v>
                </c:pt>
                <c:pt idx="2">
                  <c:v>19070</c:v>
                </c:pt>
                <c:pt idx="3">
                  <c:v>18437</c:v>
                </c:pt>
                <c:pt idx="4">
                  <c:v>11300</c:v>
                </c:pt>
                <c:pt idx="5">
                  <c:v>18181</c:v>
                </c:pt>
                <c:pt idx="6">
                  <c:v>17118</c:v>
                </c:pt>
                <c:pt idx="7">
                  <c:v>18982</c:v>
                </c:pt>
                <c:pt idx="8">
                  <c:v>14071</c:v>
                </c:pt>
                <c:pt idx="9">
                  <c:v>31846</c:v>
                </c:pt>
              </c:numCache>
            </c:numRef>
          </c:val>
        </c:ser>
        <c:ser>
          <c:idx val="1"/>
          <c:order val="1"/>
          <c:tx>
            <c:strRef>
              <c:f>data!$AA$233</c:f>
              <c:strCache>
                <c:ptCount val="1"/>
                <c:pt idx="0">
                  <c:v>VIEWS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data!$A$234:$A$243</c:f>
              <c:strCache>
                <c:ptCount val="10"/>
                <c:pt idx="0">
                  <c:v>FY07</c:v>
                </c:pt>
                <c:pt idx="1">
                  <c:v>FY08</c:v>
                </c:pt>
                <c:pt idx="2">
                  <c:v>FY09</c:v>
                </c:pt>
                <c:pt idx="3">
                  <c:v>FY10</c:v>
                </c:pt>
                <c:pt idx="4">
                  <c:v>FY11</c:v>
                </c:pt>
                <c:pt idx="5">
                  <c:v>FY12</c:v>
                </c:pt>
                <c:pt idx="6">
                  <c:v>FY13</c:v>
                </c:pt>
                <c:pt idx="7">
                  <c:v>FY14</c:v>
                </c:pt>
                <c:pt idx="8">
                  <c:v>FY15</c:v>
                </c:pt>
                <c:pt idx="9">
                  <c:v>FY16</c:v>
                </c:pt>
              </c:strCache>
            </c:strRef>
          </c:cat>
          <c:val>
            <c:numRef>
              <c:f>data!$AA$234:$AA$243</c:f>
              <c:numCache>
                <c:formatCode>General</c:formatCode>
                <c:ptCount val="10"/>
                <c:pt idx="0">
                  <c:v>117277</c:v>
                </c:pt>
                <c:pt idx="1">
                  <c:v>152974</c:v>
                </c:pt>
                <c:pt idx="2">
                  <c:v>161490</c:v>
                </c:pt>
                <c:pt idx="3">
                  <c:v>152661</c:v>
                </c:pt>
                <c:pt idx="4">
                  <c:v>165812</c:v>
                </c:pt>
                <c:pt idx="5">
                  <c:v>103414</c:v>
                </c:pt>
                <c:pt idx="6">
                  <c:v>89676</c:v>
                </c:pt>
                <c:pt idx="7">
                  <c:v>113142</c:v>
                </c:pt>
                <c:pt idx="8">
                  <c:v>97324</c:v>
                </c:pt>
                <c:pt idx="9">
                  <c:v>275875</c:v>
                </c:pt>
              </c:numCache>
            </c:numRef>
          </c:val>
        </c:ser>
        <c:ser>
          <c:idx val="2"/>
          <c:order val="2"/>
          <c:tx>
            <c:strRef>
              <c:f>data!$AB$233</c:f>
              <c:strCache>
                <c:ptCount val="1"/>
                <c:pt idx="0">
                  <c:v>VISITORS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data!$A$234:$A$243</c:f>
              <c:strCache>
                <c:ptCount val="10"/>
                <c:pt idx="0">
                  <c:v>FY07</c:v>
                </c:pt>
                <c:pt idx="1">
                  <c:v>FY08</c:v>
                </c:pt>
                <c:pt idx="2">
                  <c:v>FY09</c:v>
                </c:pt>
                <c:pt idx="3">
                  <c:v>FY10</c:v>
                </c:pt>
                <c:pt idx="4">
                  <c:v>FY11</c:v>
                </c:pt>
                <c:pt idx="5">
                  <c:v>FY12</c:v>
                </c:pt>
                <c:pt idx="6">
                  <c:v>FY13</c:v>
                </c:pt>
                <c:pt idx="7">
                  <c:v>FY14</c:v>
                </c:pt>
                <c:pt idx="8">
                  <c:v>FY15</c:v>
                </c:pt>
                <c:pt idx="9">
                  <c:v>FY16</c:v>
                </c:pt>
              </c:strCache>
            </c:strRef>
          </c:cat>
          <c:val>
            <c:numRef>
              <c:f>data!$AB$234:$AB$243</c:f>
              <c:numCache>
                <c:formatCode>General</c:formatCode>
                <c:ptCount val="10"/>
                <c:pt idx="0">
                  <c:v>7857</c:v>
                </c:pt>
                <c:pt idx="1">
                  <c:v>11683</c:v>
                </c:pt>
                <c:pt idx="2">
                  <c:v>13974</c:v>
                </c:pt>
                <c:pt idx="3">
                  <c:v>13475</c:v>
                </c:pt>
                <c:pt idx="4">
                  <c:v>8349</c:v>
                </c:pt>
                <c:pt idx="5">
                  <c:v>14448</c:v>
                </c:pt>
                <c:pt idx="6">
                  <c:v>13493</c:v>
                </c:pt>
                <c:pt idx="7">
                  <c:v>14175</c:v>
                </c:pt>
                <c:pt idx="8">
                  <c:v>10766</c:v>
                </c:pt>
                <c:pt idx="9">
                  <c:v>23530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1588929968"/>
        <c:axId val="-1588952272"/>
      </c:barChart>
      <c:catAx>
        <c:axId val="-15889299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="1">
                    <a:solidFill>
                      <a:sysClr val="windowText" lastClr="000000"/>
                    </a:solidFill>
                  </a:rPr>
                  <a:t>Fiscal Year</a:t>
                </a:r>
              </a:p>
            </c:rich>
          </c:tx>
          <c:layout>
            <c:manualLayout>
              <c:xMode val="edge"/>
              <c:yMode val="edge"/>
              <c:x val="0.52015726535887796"/>
              <c:y val="0.92867232948051204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588952272"/>
        <c:crosses val="autoZero"/>
        <c:auto val="1"/>
        <c:lblAlgn val="ctr"/>
        <c:lblOffset val="100"/>
        <c:noMultiLvlLbl val="0"/>
      </c:catAx>
      <c:valAx>
        <c:axId val="-15889522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="1">
                    <a:solidFill>
                      <a:sysClr val="windowText" lastClr="000000"/>
                    </a:solidFill>
                  </a:rPr>
                  <a:t>Number </a:t>
                </a:r>
              </a:p>
            </c:rich>
          </c:tx>
          <c:layout>
            <c:manualLayout>
              <c:xMode val="edge"/>
              <c:yMode val="edge"/>
              <c:x val="3.3999234192006499E-3"/>
              <c:y val="0.346614823753157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588929968"/>
        <c:crosses val="autoZero"/>
        <c:crossBetween val="between"/>
      </c:valAx>
      <c:spPr>
        <a:noFill/>
        <a:ln>
          <a:solidFill>
            <a:schemeClr val="bg1">
              <a:lumMod val="50000"/>
            </a:schemeClr>
          </a:solidFill>
        </a:ln>
        <a:effectLst/>
      </c:spPr>
    </c:plotArea>
    <c:legend>
      <c:legendPos val="b"/>
      <c:layout>
        <c:manualLayout>
          <c:xMode val="edge"/>
          <c:yMode val="edge"/>
          <c:x val="0.54287394285142376"/>
          <c:y val="0.16355100612423445"/>
          <c:w val="0.43458209103110301"/>
          <c:h val="7.00697022117758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>
                <a:latin typeface="+mn-lt"/>
                <a:cs typeface="Arial" panose="020B0604020202020204" pitchFamily="34" charset="0"/>
              </a:defRPr>
            </a:pPr>
            <a:r>
              <a:rPr lang="en-US"/>
              <a:t>ASDC Multi-Year Product Distribution Trend</a:t>
            </a:r>
          </a:p>
        </c:rich>
      </c:tx>
      <c:layout>
        <c:manualLayout>
          <c:xMode val="edge"/>
          <c:yMode val="edge"/>
          <c:x val="0.219374642226661"/>
          <c:y val="4.287412256015359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3107657173634"/>
          <c:y val="0.18225294239347301"/>
          <c:w val="0.85726272307204099"/>
          <c:h val="0.6552930766861140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Summary_data!$D$20</c:f>
              <c:strCache>
                <c:ptCount val="1"/>
                <c:pt idx="0">
                  <c:v>ASDC</c:v>
                </c:pt>
              </c:strCache>
            </c:strRef>
          </c:tx>
          <c:invertIfNegative val="0"/>
          <c:cat>
            <c:strRef>
              <c:f>Summary_data!$C$21:$C$30</c:f>
              <c:strCache>
                <c:ptCount val="10"/>
                <c:pt idx="0">
                  <c:v>FY07</c:v>
                </c:pt>
                <c:pt idx="1">
                  <c:v>FY08</c:v>
                </c:pt>
                <c:pt idx="2">
                  <c:v>FY09</c:v>
                </c:pt>
                <c:pt idx="3">
                  <c:v>FY10</c:v>
                </c:pt>
                <c:pt idx="4">
                  <c:v>FY11</c:v>
                </c:pt>
                <c:pt idx="5">
                  <c:v>FY12</c:v>
                </c:pt>
                <c:pt idx="6">
                  <c:v>FY13</c:v>
                </c:pt>
                <c:pt idx="7">
                  <c:v>FY14</c:v>
                </c:pt>
                <c:pt idx="8">
                  <c:v>FY15</c:v>
                </c:pt>
                <c:pt idx="9">
                  <c:v>FY16</c:v>
                </c:pt>
              </c:strCache>
            </c:strRef>
          </c:cat>
          <c:val>
            <c:numRef>
              <c:f>Summary_data!$D$21:$D$30</c:f>
              <c:numCache>
                <c:formatCode>_(* #,##0.0_);_(* \(#,##0.0\);_(* "-"??_);_(@_)</c:formatCode>
                <c:ptCount val="10"/>
                <c:pt idx="0">
                  <c:v>0</c:v>
                </c:pt>
                <c:pt idx="1">
                  <c:v>3.5718839999999998</c:v>
                </c:pt>
                <c:pt idx="2">
                  <c:v>5.1073000000000004</c:v>
                </c:pt>
                <c:pt idx="3">
                  <c:v>4.4062020000000004</c:v>
                </c:pt>
                <c:pt idx="4">
                  <c:v>5.042249</c:v>
                </c:pt>
                <c:pt idx="5">
                  <c:v>10.626249</c:v>
                </c:pt>
                <c:pt idx="6">
                  <c:v>10.212370999999999</c:v>
                </c:pt>
                <c:pt idx="7">
                  <c:v>15.472293000000001</c:v>
                </c:pt>
                <c:pt idx="8">
                  <c:v>15.943277</c:v>
                </c:pt>
                <c:pt idx="9">
                  <c:v>18.483861999999998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81031136"/>
        <c:axId val="-181048544"/>
      </c:barChart>
      <c:catAx>
        <c:axId val="-1810311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Fiscal Year</a:t>
                </a:r>
              </a:p>
            </c:rich>
          </c:tx>
          <c:layout>
            <c:manualLayout>
              <c:xMode val="edge"/>
              <c:yMode val="edge"/>
              <c:x val="0.51269424232162897"/>
              <c:y val="0.91856945601153805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 b="0" baseline="0">
                <a:latin typeface="+mn-lt"/>
                <a:cs typeface="Arial" panose="020B0604020202020204" pitchFamily="34" charset="0"/>
              </a:defRPr>
            </a:pPr>
            <a:endParaRPr lang="en-US"/>
          </a:p>
        </c:txPr>
        <c:crossAx val="-181048544"/>
        <c:crosses val="autoZero"/>
        <c:auto val="1"/>
        <c:lblAlgn val="ctr"/>
        <c:lblOffset val="100"/>
        <c:noMultiLvlLbl val="0"/>
      </c:catAx>
      <c:valAx>
        <c:axId val="-18104854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Product Distributed (Millions)</a:t>
                </a:r>
              </a:p>
            </c:rich>
          </c:tx>
          <c:layout>
            <c:manualLayout>
              <c:xMode val="edge"/>
              <c:yMode val="edge"/>
              <c:x val="1.6285028493567399E-2"/>
              <c:y val="0.17328868888728299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1200">
                <a:latin typeface="+mn-lt"/>
                <a:cs typeface="Arial" panose="020B0604020202020204" pitchFamily="34" charset="0"/>
              </a:defRPr>
            </a:pPr>
            <a:endParaRPr lang="en-US"/>
          </a:p>
        </c:txPr>
        <c:crossAx val="-181031136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0000000000004" l="0.70000000000000095" r="0.70000000000000095" t="0.750000000000004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>
                <a:latin typeface="+mn-lt"/>
                <a:cs typeface="Arial" panose="020B0604020202020204" pitchFamily="34" charset="0"/>
              </a:defRPr>
            </a:pPr>
            <a:r>
              <a:rPr lang="en-US"/>
              <a:t>ORNL Multi-Year Product Distribution Trend</a:t>
            </a:r>
          </a:p>
        </c:rich>
      </c:tx>
      <c:layout>
        <c:manualLayout>
          <c:xMode val="edge"/>
          <c:yMode val="edge"/>
          <c:x val="0.219374642226661"/>
          <c:y val="4.287412256015359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3107657173634"/>
          <c:y val="0.18225294239347301"/>
          <c:w val="0.85726272307204099"/>
          <c:h val="0.6552930766861140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Summary_data!$M$20</c:f>
              <c:strCache>
                <c:ptCount val="1"/>
                <c:pt idx="0">
                  <c:v>ORNL</c:v>
                </c:pt>
              </c:strCache>
            </c:strRef>
          </c:tx>
          <c:invertIfNegative val="0"/>
          <c:cat>
            <c:strRef>
              <c:f>Summary_data!$C$21:$C$30</c:f>
              <c:strCache>
                <c:ptCount val="10"/>
                <c:pt idx="0">
                  <c:v>FY07</c:v>
                </c:pt>
                <c:pt idx="1">
                  <c:v>FY08</c:v>
                </c:pt>
                <c:pt idx="2">
                  <c:v>FY09</c:v>
                </c:pt>
                <c:pt idx="3">
                  <c:v>FY10</c:v>
                </c:pt>
                <c:pt idx="4">
                  <c:v>FY11</c:v>
                </c:pt>
                <c:pt idx="5">
                  <c:v>FY12</c:v>
                </c:pt>
                <c:pt idx="6">
                  <c:v>FY13</c:v>
                </c:pt>
                <c:pt idx="7">
                  <c:v>FY14</c:v>
                </c:pt>
                <c:pt idx="8">
                  <c:v>FY15</c:v>
                </c:pt>
                <c:pt idx="9">
                  <c:v>FY16</c:v>
                </c:pt>
              </c:strCache>
            </c:strRef>
          </c:cat>
          <c:val>
            <c:numRef>
              <c:f>Summary_data!$M$21:$M$30</c:f>
              <c:numCache>
                <c:formatCode>_(* #,##0.0_);_(* \(#,##0.0\);_(* "-"??_);_(@_)</c:formatCode>
                <c:ptCount val="10"/>
                <c:pt idx="0">
                  <c:v>0</c:v>
                </c:pt>
                <c:pt idx="1">
                  <c:v>0.39932299999999998</c:v>
                </c:pt>
                <c:pt idx="2">
                  <c:v>7.6994199999999999</c:v>
                </c:pt>
                <c:pt idx="3">
                  <c:v>49.882874999999999</c:v>
                </c:pt>
                <c:pt idx="4">
                  <c:v>3.194725</c:v>
                </c:pt>
                <c:pt idx="5">
                  <c:v>6.7061929999999998</c:v>
                </c:pt>
                <c:pt idx="6">
                  <c:v>5.756697</c:v>
                </c:pt>
                <c:pt idx="7">
                  <c:v>13.607626</c:v>
                </c:pt>
                <c:pt idx="8">
                  <c:v>13.084823</c:v>
                </c:pt>
                <c:pt idx="9">
                  <c:v>31.550469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588945200"/>
        <c:axId val="-1588958800"/>
      </c:barChart>
      <c:catAx>
        <c:axId val="-15889452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Fiscal Year</a:t>
                </a:r>
              </a:p>
            </c:rich>
          </c:tx>
          <c:layout>
            <c:manualLayout>
              <c:xMode val="edge"/>
              <c:yMode val="edge"/>
              <c:x val="0.51269424232162897"/>
              <c:y val="0.91856945601153805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 b="0" baseline="0">
                <a:latin typeface="+mn-lt"/>
                <a:cs typeface="Arial" panose="020B0604020202020204" pitchFamily="34" charset="0"/>
              </a:defRPr>
            </a:pPr>
            <a:endParaRPr lang="en-US"/>
          </a:p>
        </c:txPr>
        <c:crossAx val="-1588958800"/>
        <c:crosses val="autoZero"/>
        <c:auto val="1"/>
        <c:lblAlgn val="ctr"/>
        <c:lblOffset val="100"/>
        <c:noMultiLvlLbl val="0"/>
      </c:catAx>
      <c:valAx>
        <c:axId val="-158895880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Product Distributed (Millions)</a:t>
                </a:r>
              </a:p>
            </c:rich>
          </c:tx>
          <c:layout>
            <c:manualLayout>
              <c:xMode val="edge"/>
              <c:yMode val="edge"/>
              <c:x val="1.6285028493567399E-2"/>
              <c:y val="0.17328868888728299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1200">
                <a:latin typeface="+mn-lt"/>
                <a:cs typeface="Arial" panose="020B0604020202020204" pitchFamily="34" charset="0"/>
              </a:defRPr>
            </a:pPr>
            <a:endParaRPr lang="en-US"/>
          </a:p>
        </c:txPr>
        <c:crossAx val="-1588945200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0000000000004" l="0.70000000000000095" r="0.70000000000000095" t="0.750000000000004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>
                <a:latin typeface="+mn-lt"/>
                <a:cs typeface="Arial" panose="020B0604020202020204" pitchFamily="34" charset="0"/>
              </a:defRPr>
            </a:pPr>
            <a:r>
              <a:rPr lang="en-US"/>
              <a:t>PO.DAAC Multi-Year Total Archive Volume Trend</a:t>
            </a:r>
          </a:p>
        </c:rich>
      </c:tx>
      <c:layout>
        <c:manualLayout>
          <c:xMode val="edge"/>
          <c:yMode val="edge"/>
          <c:x val="0.223544133657093"/>
          <c:y val="3.841216417989099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56188786714438"/>
          <c:y val="0.18228668594254499"/>
          <c:w val="0.80487043883359"/>
          <c:h val="0.6507674633483110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data!$L$156</c:f>
              <c:strCache>
                <c:ptCount val="1"/>
                <c:pt idx="0">
                  <c:v>PO.DAAC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invertIfNegative val="0"/>
          <c:cat>
            <c:strRef>
              <c:f>data!$A$157:$A$165</c:f>
              <c:strCache>
                <c:ptCount val="9"/>
                <c:pt idx="0">
                  <c:v>FY08</c:v>
                </c:pt>
                <c:pt idx="1">
                  <c:v>FY09</c:v>
                </c:pt>
                <c:pt idx="2">
                  <c:v>FY10</c:v>
                </c:pt>
                <c:pt idx="3">
                  <c:v>FY11</c:v>
                </c:pt>
                <c:pt idx="4">
                  <c:v>FY12</c:v>
                </c:pt>
                <c:pt idx="5">
                  <c:v>FY13</c:v>
                </c:pt>
                <c:pt idx="6">
                  <c:v>FY14</c:v>
                </c:pt>
                <c:pt idx="7">
                  <c:v>FY15</c:v>
                </c:pt>
                <c:pt idx="8">
                  <c:v>FY16</c:v>
                </c:pt>
              </c:strCache>
            </c:strRef>
          </c:cat>
          <c:val>
            <c:numRef>
              <c:f>data!$L$157:$L$165</c:f>
              <c:numCache>
                <c:formatCode>_(* #,##0.00_);_(* \(#,##0.00\);_(* "-"??_);_(@_)</c:formatCode>
                <c:ptCount val="9"/>
                <c:pt idx="0">
                  <c:v>21.843390625000001</c:v>
                </c:pt>
                <c:pt idx="1">
                  <c:v>29.620999999999999</c:v>
                </c:pt>
                <c:pt idx="2">
                  <c:v>32.902135742187497</c:v>
                </c:pt>
                <c:pt idx="3">
                  <c:v>36.163331054687497</c:v>
                </c:pt>
                <c:pt idx="4">
                  <c:v>41.469843750000003</c:v>
                </c:pt>
                <c:pt idx="5">
                  <c:v>44.454013671875003</c:v>
                </c:pt>
                <c:pt idx="6">
                  <c:v>54.879029105307303</c:v>
                </c:pt>
                <c:pt idx="7">
                  <c:v>89.562392578125014</c:v>
                </c:pt>
                <c:pt idx="8">
                  <c:v>164.003359375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588935408"/>
        <c:axId val="-1588958256"/>
      </c:barChart>
      <c:catAx>
        <c:axId val="-15889354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Fiscal Year</a:t>
                </a:r>
              </a:p>
            </c:rich>
          </c:tx>
          <c:layout>
            <c:manualLayout>
              <c:xMode val="edge"/>
              <c:yMode val="edge"/>
              <c:x val="0.49999567596515698"/>
              <c:y val="0.91411120752953801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 b="0" baseline="0">
                <a:latin typeface="+mn-lt"/>
                <a:cs typeface="Arial" panose="020B0604020202020204" pitchFamily="34" charset="0"/>
              </a:defRPr>
            </a:pPr>
            <a:endParaRPr lang="en-US"/>
          </a:p>
        </c:txPr>
        <c:crossAx val="-1588958256"/>
        <c:crosses val="autoZero"/>
        <c:auto val="1"/>
        <c:lblAlgn val="ctr"/>
        <c:lblOffset val="100"/>
        <c:noMultiLvlLbl val="0"/>
      </c:catAx>
      <c:valAx>
        <c:axId val="-158895825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Volume (TB)</a:t>
                </a:r>
              </a:p>
            </c:rich>
          </c:tx>
          <c:layout>
            <c:manualLayout>
              <c:xMode val="edge"/>
              <c:yMode val="edge"/>
              <c:x val="1.62849872773537E-2"/>
              <c:y val="0.34790157257870402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1200">
                <a:latin typeface="+mn-lt"/>
                <a:cs typeface="Arial" panose="020B0604020202020204" pitchFamily="34" charset="0"/>
              </a:defRPr>
            </a:pPr>
            <a:endParaRPr lang="en-US"/>
          </a:p>
        </c:txPr>
        <c:crossAx val="-1588935408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0000000000004" l="0.70000000000000095" r="0.70000000000000095" t="0.750000000000004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026532186658235"/>
          <c:y val="0.14901950216041901"/>
          <c:w val="0.83889779275906018"/>
          <c:h val="0.68891197860574704"/>
        </c:manualLayout>
      </c:layout>
      <c:lineChart>
        <c:grouping val="standard"/>
        <c:varyColors val="0"/>
        <c:ser>
          <c:idx val="0"/>
          <c:order val="0"/>
          <c:tx>
            <c:strRef>
              <c:f>data!$L$168</c:f>
              <c:strCache>
                <c:ptCount val="1"/>
                <c:pt idx="0">
                  <c:v>PO.DAAC</c:v>
                </c:pt>
              </c:strCache>
            </c:strRef>
          </c:tx>
          <c:marker>
            <c:symbol val="none"/>
          </c:marker>
          <c:cat>
            <c:strRef>
              <c:f>data!$A$169:$A$177</c:f>
              <c:strCache>
                <c:ptCount val="9"/>
                <c:pt idx="0">
                  <c:v>FY08</c:v>
                </c:pt>
                <c:pt idx="1">
                  <c:v>FY09</c:v>
                </c:pt>
                <c:pt idx="2">
                  <c:v>FY10</c:v>
                </c:pt>
                <c:pt idx="3">
                  <c:v>FY11</c:v>
                </c:pt>
                <c:pt idx="4">
                  <c:v>FY12</c:v>
                </c:pt>
                <c:pt idx="5">
                  <c:v>FY13</c:v>
                </c:pt>
                <c:pt idx="6">
                  <c:v>FY14</c:v>
                </c:pt>
                <c:pt idx="7">
                  <c:v>FY15</c:v>
                </c:pt>
                <c:pt idx="8">
                  <c:v>FY16</c:v>
                </c:pt>
              </c:strCache>
            </c:strRef>
          </c:cat>
          <c:val>
            <c:numRef>
              <c:f>data!$L$169:$L$177</c:f>
              <c:numCache>
                <c:formatCode>0.0%</c:formatCode>
                <c:ptCount val="9"/>
                <c:pt idx="0">
                  <c:v>0.3592377107575398</c:v>
                </c:pt>
                <c:pt idx="1">
                  <c:v>0.30162634959682932</c:v>
                </c:pt>
                <c:pt idx="2">
                  <c:v>0.35940032414910861</c:v>
                </c:pt>
                <c:pt idx="3">
                  <c:v>0.13245337159253945</c:v>
                </c:pt>
                <c:pt idx="4">
                  <c:v>0.12790491396132694</c:v>
                </c:pt>
                <c:pt idx="5">
                  <c:v>0.37919999999999998</c:v>
                </c:pt>
                <c:pt idx="6">
                  <c:v>0.46317441419990257</c:v>
                </c:pt>
                <c:pt idx="7">
                  <c:v>0.30471387666139577</c:v>
                </c:pt>
                <c:pt idx="8">
                  <c:v>0.30471387666139577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588931056"/>
        <c:axId val="-1588929424"/>
      </c:lineChart>
      <c:catAx>
        <c:axId val="-15889310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Fiscal Year</a:t>
                </a:r>
              </a:p>
            </c:rich>
          </c:tx>
          <c:layout>
            <c:manualLayout>
              <c:xMode val="edge"/>
              <c:yMode val="edge"/>
              <c:x val="0.48422756091902203"/>
              <c:y val="0.91945592070692705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 b="0" baseline="0">
                <a:latin typeface="+mn-lt"/>
                <a:cs typeface="Arial" panose="020B0604020202020204" pitchFamily="34" charset="0"/>
              </a:defRPr>
            </a:pPr>
            <a:endParaRPr lang="en-US"/>
          </a:p>
        </c:txPr>
        <c:crossAx val="-1588929424"/>
        <c:crosses val="autoZero"/>
        <c:auto val="1"/>
        <c:lblAlgn val="ctr"/>
        <c:lblOffset val="100"/>
        <c:noMultiLvlLbl val="0"/>
      </c:catAx>
      <c:valAx>
        <c:axId val="-158892942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Percentage</a:t>
                </a:r>
              </a:p>
            </c:rich>
          </c:tx>
          <c:layout>
            <c:manualLayout>
              <c:xMode val="edge"/>
              <c:yMode val="edge"/>
              <c:x val="4.8473441747445998E-3"/>
              <c:y val="0.36539536980201598"/>
            </c:manualLayout>
          </c:layout>
          <c:overlay val="0"/>
        </c:title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sz="1200">
                <a:solidFill>
                  <a:sysClr val="windowText" lastClr="000000"/>
                </a:solidFill>
                <a:latin typeface="+mn-lt"/>
                <a:cs typeface="Arial" panose="020B0604020202020204" pitchFamily="34" charset="0"/>
              </a:defRPr>
            </a:pPr>
            <a:endParaRPr lang="en-US"/>
          </a:p>
        </c:txPr>
        <c:crossAx val="-1588931056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0000000000004" l="0.70000000000000095" r="0.70000000000000095" t="0.750000000000004" header="0.3" footer="0.3"/>
    <c:pageSetup/>
  </c:printSettings>
  <c:userShapes r:id="rId1"/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03660238552717"/>
          <c:y val="0.143607581541664"/>
          <c:w val="0.81260053112172603"/>
          <c:h val="0.7057685758279259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data!$AC$233</c:f>
              <c:strCache>
                <c:ptCount val="1"/>
                <c:pt idx="0">
                  <c:v>VISITS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data!$A$234:$A$243</c:f>
              <c:strCache>
                <c:ptCount val="10"/>
                <c:pt idx="0">
                  <c:v>FY07</c:v>
                </c:pt>
                <c:pt idx="1">
                  <c:v>FY08</c:v>
                </c:pt>
                <c:pt idx="2">
                  <c:v>FY09</c:v>
                </c:pt>
                <c:pt idx="3">
                  <c:v>FY10</c:v>
                </c:pt>
                <c:pt idx="4">
                  <c:v>FY11</c:v>
                </c:pt>
                <c:pt idx="5">
                  <c:v>FY12</c:v>
                </c:pt>
                <c:pt idx="6">
                  <c:v>FY13</c:v>
                </c:pt>
                <c:pt idx="7">
                  <c:v>FY14</c:v>
                </c:pt>
                <c:pt idx="8">
                  <c:v>FY15</c:v>
                </c:pt>
                <c:pt idx="9">
                  <c:v>FY16</c:v>
                </c:pt>
              </c:strCache>
            </c:strRef>
          </c:cat>
          <c:val>
            <c:numRef>
              <c:f>data!$AC$234:$AC$243</c:f>
              <c:numCache>
                <c:formatCode>General</c:formatCode>
                <c:ptCount val="10"/>
                <c:pt idx="0">
                  <c:v>43722</c:v>
                </c:pt>
                <c:pt idx="1">
                  <c:v>24190</c:v>
                </c:pt>
                <c:pt idx="2">
                  <c:v>19878</c:v>
                </c:pt>
                <c:pt idx="3">
                  <c:v>19897</c:v>
                </c:pt>
                <c:pt idx="4">
                  <c:v>25614</c:v>
                </c:pt>
                <c:pt idx="5">
                  <c:v>28056</c:v>
                </c:pt>
                <c:pt idx="6">
                  <c:v>28531</c:v>
                </c:pt>
                <c:pt idx="7">
                  <c:v>29876</c:v>
                </c:pt>
                <c:pt idx="8">
                  <c:v>37165</c:v>
                </c:pt>
                <c:pt idx="9">
                  <c:v>36216</c:v>
                </c:pt>
              </c:numCache>
            </c:numRef>
          </c:val>
        </c:ser>
        <c:ser>
          <c:idx val="1"/>
          <c:order val="1"/>
          <c:tx>
            <c:strRef>
              <c:f>data!$AD$233</c:f>
              <c:strCache>
                <c:ptCount val="1"/>
                <c:pt idx="0">
                  <c:v>VIEWS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data!$A$234:$A$243</c:f>
              <c:strCache>
                <c:ptCount val="10"/>
                <c:pt idx="0">
                  <c:v>FY07</c:v>
                </c:pt>
                <c:pt idx="1">
                  <c:v>FY08</c:v>
                </c:pt>
                <c:pt idx="2">
                  <c:v>FY09</c:v>
                </c:pt>
                <c:pt idx="3">
                  <c:v>FY10</c:v>
                </c:pt>
                <c:pt idx="4">
                  <c:v>FY11</c:v>
                </c:pt>
                <c:pt idx="5">
                  <c:v>FY12</c:v>
                </c:pt>
                <c:pt idx="6">
                  <c:v>FY13</c:v>
                </c:pt>
                <c:pt idx="7">
                  <c:v>FY14</c:v>
                </c:pt>
                <c:pt idx="8">
                  <c:v>FY15</c:v>
                </c:pt>
                <c:pt idx="9">
                  <c:v>FY16</c:v>
                </c:pt>
              </c:strCache>
            </c:strRef>
          </c:cat>
          <c:val>
            <c:numRef>
              <c:f>data!$AD$234:$AD$243</c:f>
              <c:numCache>
                <c:formatCode>General</c:formatCode>
                <c:ptCount val="10"/>
                <c:pt idx="0">
                  <c:v>479754</c:v>
                </c:pt>
                <c:pt idx="1">
                  <c:v>168092</c:v>
                </c:pt>
                <c:pt idx="2">
                  <c:v>111178</c:v>
                </c:pt>
                <c:pt idx="3">
                  <c:v>103047</c:v>
                </c:pt>
                <c:pt idx="4">
                  <c:v>205349</c:v>
                </c:pt>
                <c:pt idx="5">
                  <c:v>221636</c:v>
                </c:pt>
                <c:pt idx="6">
                  <c:v>206051</c:v>
                </c:pt>
                <c:pt idx="7">
                  <c:v>200215</c:v>
                </c:pt>
                <c:pt idx="8">
                  <c:v>270832</c:v>
                </c:pt>
                <c:pt idx="9">
                  <c:v>303768</c:v>
                </c:pt>
              </c:numCache>
            </c:numRef>
          </c:val>
        </c:ser>
        <c:ser>
          <c:idx val="2"/>
          <c:order val="2"/>
          <c:tx>
            <c:strRef>
              <c:f>data!$AE$233</c:f>
              <c:strCache>
                <c:ptCount val="1"/>
                <c:pt idx="0">
                  <c:v>VISITORS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data!$A$234:$A$243</c:f>
              <c:strCache>
                <c:ptCount val="10"/>
                <c:pt idx="0">
                  <c:v>FY07</c:v>
                </c:pt>
                <c:pt idx="1">
                  <c:v>FY08</c:v>
                </c:pt>
                <c:pt idx="2">
                  <c:v>FY09</c:v>
                </c:pt>
                <c:pt idx="3">
                  <c:v>FY10</c:v>
                </c:pt>
                <c:pt idx="4">
                  <c:v>FY11</c:v>
                </c:pt>
                <c:pt idx="5">
                  <c:v>FY12</c:v>
                </c:pt>
                <c:pt idx="6">
                  <c:v>FY13</c:v>
                </c:pt>
                <c:pt idx="7">
                  <c:v>FY14</c:v>
                </c:pt>
                <c:pt idx="8">
                  <c:v>FY15</c:v>
                </c:pt>
                <c:pt idx="9">
                  <c:v>FY16</c:v>
                </c:pt>
              </c:strCache>
            </c:strRef>
          </c:cat>
          <c:val>
            <c:numRef>
              <c:f>data!$AE$234:$AE$243</c:f>
              <c:numCache>
                <c:formatCode>General</c:formatCode>
                <c:ptCount val="10"/>
                <c:pt idx="0">
                  <c:v>24748</c:v>
                </c:pt>
                <c:pt idx="1">
                  <c:v>16844</c:v>
                </c:pt>
                <c:pt idx="2">
                  <c:v>14634</c:v>
                </c:pt>
                <c:pt idx="3">
                  <c:v>14808</c:v>
                </c:pt>
                <c:pt idx="4">
                  <c:v>17425</c:v>
                </c:pt>
                <c:pt idx="5">
                  <c:v>19278</c:v>
                </c:pt>
                <c:pt idx="6">
                  <c:v>19950</c:v>
                </c:pt>
                <c:pt idx="7">
                  <c:v>21105</c:v>
                </c:pt>
                <c:pt idx="8">
                  <c:v>23399</c:v>
                </c:pt>
                <c:pt idx="9">
                  <c:v>25158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1588956624"/>
        <c:axId val="-1588934864"/>
      </c:barChart>
      <c:catAx>
        <c:axId val="-158895662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="1">
                    <a:solidFill>
                      <a:sysClr val="windowText" lastClr="000000"/>
                    </a:solidFill>
                  </a:rPr>
                  <a:t>Fiscal Year</a:t>
                </a:r>
              </a:p>
            </c:rich>
          </c:tx>
          <c:layout>
            <c:manualLayout>
              <c:xMode val="edge"/>
              <c:yMode val="edge"/>
              <c:x val="0.52015726535887796"/>
              <c:y val="0.92867232948051204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588934864"/>
        <c:crosses val="autoZero"/>
        <c:auto val="1"/>
        <c:lblAlgn val="ctr"/>
        <c:lblOffset val="100"/>
        <c:noMultiLvlLbl val="0"/>
      </c:catAx>
      <c:valAx>
        <c:axId val="-1588934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="1">
                    <a:solidFill>
                      <a:sysClr val="windowText" lastClr="000000"/>
                    </a:solidFill>
                  </a:rPr>
                  <a:t>Number </a:t>
                </a:r>
              </a:p>
            </c:rich>
          </c:tx>
          <c:layout>
            <c:manualLayout>
              <c:xMode val="edge"/>
              <c:yMode val="edge"/>
              <c:x val="3.3999234192006499E-3"/>
              <c:y val="0.346614823753157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588956624"/>
        <c:crosses val="autoZero"/>
        <c:crossBetween val="between"/>
      </c:valAx>
      <c:spPr>
        <a:noFill/>
        <a:ln>
          <a:solidFill>
            <a:schemeClr val="bg1">
              <a:lumMod val="50000"/>
            </a:schemeClr>
          </a:solidFill>
        </a:ln>
        <a:effectLst/>
      </c:spPr>
    </c:plotArea>
    <c:legend>
      <c:legendPos val="b"/>
      <c:layout>
        <c:manualLayout>
          <c:xMode val="edge"/>
          <c:yMode val="edge"/>
          <c:x val="0.51987741525258802"/>
          <c:y val="0.163551181102362"/>
          <c:w val="0.43458209103110301"/>
          <c:h val="7.00697022117758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>
                <a:latin typeface="+mn-lt"/>
                <a:cs typeface="Arial" panose="020B0604020202020204" pitchFamily="34" charset="0"/>
              </a:defRPr>
            </a:pPr>
            <a:r>
              <a:rPr lang="en-US"/>
              <a:t>PO.DAAC Multi-Year Product Distribution Trend</a:t>
            </a:r>
          </a:p>
        </c:rich>
      </c:tx>
      <c:layout>
        <c:manualLayout>
          <c:xMode val="edge"/>
          <c:yMode val="edge"/>
          <c:x val="0.219374642226661"/>
          <c:y val="4.287412256015359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3107657173634"/>
          <c:y val="0.18225294239347301"/>
          <c:w val="0.85726272307204099"/>
          <c:h val="0.6552930766861140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Summary_data!$N$20</c:f>
              <c:strCache>
                <c:ptCount val="1"/>
                <c:pt idx="0">
                  <c:v>PO.DAAC</c:v>
                </c:pt>
              </c:strCache>
            </c:strRef>
          </c:tx>
          <c:invertIfNegative val="0"/>
          <c:cat>
            <c:strRef>
              <c:f>Summary_data!$C$21:$C$30</c:f>
              <c:strCache>
                <c:ptCount val="10"/>
                <c:pt idx="0">
                  <c:v>FY07</c:v>
                </c:pt>
                <c:pt idx="1">
                  <c:v>FY08</c:v>
                </c:pt>
                <c:pt idx="2">
                  <c:v>FY09</c:v>
                </c:pt>
                <c:pt idx="3">
                  <c:v>FY10</c:v>
                </c:pt>
                <c:pt idx="4">
                  <c:v>FY11</c:v>
                </c:pt>
                <c:pt idx="5">
                  <c:v>FY12</c:v>
                </c:pt>
                <c:pt idx="6">
                  <c:v>FY13</c:v>
                </c:pt>
                <c:pt idx="7">
                  <c:v>FY14</c:v>
                </c:pt>
                <c:pt idx="8">
                  <c:v>FY15</c:v>
                </c:pt>
                <c:pt idx="9">
                  <c:v>FY16</c:v>
                </c:pt>
              </c:strCache>
            </c:strRef>
          </c:cat>
          <c:val>
            <c:numRef>
              <c:f>Summary_data!$N$21:$N$30</c:f>
              <c:numCache>
                <c:formatCode>_(* #,##0.0_);_(* \(#,##0.0\);_(* "-"??_);_(@_)</c:formatCode>
                <c:ptCount val="10"/>
                <c:pt idx="0">
                  <c:v>0</c:v>
                </c:pt>
                <c:pt idx="1">
                  <c:v>16.487646000000002</c:v>
                </c:pt>
                <c:pt idx="2">
                  <c:v>31.722079000000001</c:v>
                </c:pt>
                <c:pt idx="3">
                  <c:v>50.334622000000003</c:v>
                </c:pt>
                <c:pt idx="4">
                  <c:v>38.272939999999998</c:v>
                </c:pt>
                <c:pt idx="5">
                  <c:v>54.068233999999997</c:v>
                </c:pt>
                <c:pt idx="6">
                  <c:v>89.251096000000004</c:v>
                </c:pt>
                <c:pt idx="7">
                  <c:v>71.263045000000005</c:v>
                </c:pt>
                <c:pt idx="8">
                  <c:v>77.176446999999996</c:v>
                </c:pt>
                <c:pt idx="9">
                  <c:v>93.017982000000003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588960432"/>
        <c:axId val="-1588944112"/>
      </c:barChart>
      <c:catAx>
        <c:axId val="-15889604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Fiscal Year</a:t>
                </a:r>
              </a:p>
            </c:rich>
          </c:tx>
          <c:layout>
            <c:manualLayout>
              <c:xMode val="edge"/>
              <c:yMode val="edge"/>
              <c:x val="0.51269424232162897"/>
              <c:y val="0.91856945601153805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 b="0" baseline="0">
                <a:latin typeface="+mn-lt"/>
                <a:cs typeface="Arial" panose="020B0604020202020204" pitchFamily="34" charset="0"/>
              </a:defRPr>
            </a:pPr>
            <a:endParaRPr lang="en-US"/>
          </a:p>
        </c:txPr>
        <c:crossAx val="-1588944112"/>
        <c:crosses val="autoZero"/>
        <c:auto val="1"/>
        <c:lblAlgn val="ctr"/>
        <c:lblOffset val="100"/>
        <c:noMultiLvlLbl val="0"/>
      </c:catAx>
      <c:valAx>
        <c:axId val="-158894411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Product Distributed (Millions)</a:t>
                </a:r>
              </a:p>
            </c:rich>
          </c:tx>
          <c:layout>
            <c:manualLayout>
              <c:xMode val="edge"/>
              <c:yMode val="edge"/>
              <c:x val="1.6285028493567399E-2"/>
              <c:y val="0.17328868888728299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1200">
                <a:latin typeface="+mn-lt"/>
                <a:cs typeface="Arial" panose="020B0604020202020204" pitchFamily="34" charset="0"/>
              </a:defRPr>
            </a:pPr>
            <a:endParaRPr lang="en-US"/>
          </a:p>
        </c:txPr>
        <c:crossAx val="-1588960432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0000000000004" l="0.70000000000000095" r="0.70000000000000095" t="0.750000000000004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>
                <a:latin typeface="+mn-lt"/>
                <a:cs typeface="Arial" panose="020B0604020202020204" pitchFamily="34" charset="0"/>
              </a:defRPr>
            </a:pPr>
            <a:r>
              <a:rPr lang="en-US"/>
              <a:t>SEDAC Multi-Year Total Archive Volume Trend</a:t>
            </a:r>
          </a:p>
        </c:rich>
      </c:tx>
      <c:layout>
        <c:manualLayout>
          <c:xMode val="edge"/>
          <c:yMode val="edge"/>
          <c:x val="0.223544133657093"/>
          <c:y val="3.841216417989099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56188786714438"/>
          <c:y val="0.18228668594254499"/>
          <c:w val="0.80487043883359"/>
          <c:h val="0.6507674633483110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data!$M$156</c:f>
              <c:strCache>
                <c:ptCount val="1"/>
                <c:pt idx="0">
                  <c:v>SEDAC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invertIfNegative val="0"/>
          <c:cat>
            <c:strRef>
              <c:f>data!$A$157:$A$165</c:f>
              <c:strCache>
                <c:ptCount val="9"/>
                <c:pt idx="0">
                  <c:v>FY08</c:v>
                </c:pt>
                <c:pt idx="1">
                  <c:v>FY09</c:v>
                </c:pt>
                <c:pt idx="2">
                  <c:v>FY10</c:v>
                </c:pt>
                <c:pt idx="3">
                  <c:v>FY11</c:v>
                </c:pt>
                <c:pt idx="4">
                  <c:v>FY12</c:v>
                </c:pt>
                <c:pt idx="5">
                  <c:v>FY13</c:v>
                </c:pt>
                <c:pt idx="6">
                  <c:v>FY14</c:v>
                </c:pt>
                <c:pt idx="7">
                  <c:v>FY15</c:v>
                </c:pt>
                <c:pt idx="8">
                  <c:v>FY16</c:v>
                </c:pt>
              </c:strCache>
            </c:strRef>
          </c:cat>
          <c:val>
            <c:numRef>
              <c:f>data!$M$157:$M$165</c:f>
              <c:numCache>
                <c:formatCode>_(* #,##0.00_);_(* \(#,##0.00\);_(* "-"??_);_(@_)</c:formatCode>
                <c:ptCount val="9"/>
                <c:pt idx="2">
                  <c:v>2.722111328125</c:v>
                </c:pt>
                <c:pt idx="3">
                  <c:v>2.8863720703125</c:v>
                </c:pt>
                <c:pt idx="4">
                  <c:v>3.3079492187500001</c:v>
                </c:pt>
                <c:pt idx="5">
                  <c:v>3.3409765624999999</c:v>
                </c:pt>
                <c:pt idx="6">
                  <c:v>3.3594172669090723</c:v>
                </c:pt>
                <c:pt idx="7">
                  <c:v>3.3659960937500002</c:v>
                </c:pt>
                <c:pt idx="8">
                  <c:v>3.7205468750000001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588955536"/>
        <c:axId val="-1588959888"/>
      </c:barChart>
      <c:catAx>
        <c:axId val="-15889555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Fiscal Year</a:t>
                </a:r>
              </a:p>
            </c:rich>
          </c:tx>
          <c:layout>
            <c:manualLayout>
              <c:xMode val="edge"/>
              <c:yMode val="edge"/>
              <c:x val="0.49999567596515698"/>
              <c:y val="0.91411120752953801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 b="0" baseline="0">
                <a:latin typeface="+mn-lt"/>
                <a:cs typeface="Arial" panose="020B0604020202020204" pitchFamily="34" charset="0"/>
              </a:defRPr>
            </a:pPr>
            <a:endParaRPr lang="en-US"/>
          </a:p>
        </c:txPr>
        <c:crossAx val="-1588959888"/>
        <c:crosses val="autoZero"/>
        <c:auto val="1"/>
        <c:lblAlgn val="ctr"/>
        <c:lblOffset val="100"/>
        <c:noMultiLvlLbl val="0"/>
      </c:catAx>
      <c:valAx>
        <c:axId val="-158895988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Volume (TB)</a:t>
                </a:r>
              </a:p>
            </c:rich>
          </c:tx>
          <c:layout>
            <c:manualLayout>
              <c:xMode val="edge"/>
              <c:yMode val="edge"/>
              <c:x val="1.62849872773537E-2"/>
              <c:y val="0.34790157257870402"/>
            </c:manualLayout>
          </c:layout>
          <c:overlay val="0"/>
        </c:title>
        <c:numFmt formatCode="#,##0.0" sourceLinked="0"/>
        <c:majorTickMark val="out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1200">
                <a:latin typeface="+mn-lt"/>
                <a:cs typeface="Arial" panose="020B0604020202020204" pitchFamily="34" charset="0"/>
              </a:defRPr>
            </a:pPr>
            <a:endParaRPr lang="en-US"/>
          </a:p>
        </c:txPr>
        <c:crossAx val="-1588955536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0000000000004" l="0.70000000000000095" r="0.70000000000000095" t="0.750000000000004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494971901634679"/>
          <c:y val="0.14901950216041901"/>
          <c:w val="0.85421339560929577"/>
          <c:h val="0.68891197860574704"/>
        </c:manualLayout>
      </c:layout>
      <c:lineChart>
        <c:grouping val="standard"/>
        <c:varyColors val="0"/>
        <c:ser>
          <c:idx val="0"/>
          <c:order val="0"/>
          <c:tx>
            <c:strRef>
              <c:f>data!$M$168</c:f>
              <c:strCache>
                <c:ptCount val="1"/>
                <c:pt idx="0">
                  <c:v>SEDAC</c:v>
                </c:pt>
              </c:strCache>
            </c:strRef>
          </c:tx>
          <c:marker>
            <c:symbol val="none"/>
          </c:marker>
          <c:cat>
            <c:strRef>
              <c:f>data!$A$169:$A$177</c:f>
              <c:strCache>
                <c:ptCount val="9"/>
                <c:pt idx="0">
                  <c:v>FY08</c:v>
                </c:pt>
                <c:pt idx="1">
                  <c:v>FY09</c:v>
                </c:pt>
                <c:pt idx="2">
                  <c:v>FY10</c:v>
                </c:pt>
                <c:pt idx="3">
                  <c:v>FY11</c:v>
                </c:pt>
                <c:pt idx="4">
                  <c:v>FY12</c:v>
                </c:pt>
                <c:pt idx="5">
                  <c:v>FY13</c:v>
                </c:pt>
                <c:pt idx="6">
                  <c:v>FY14</c:v>
                </c:pt>
                <c:pt idx="7">
                  <c:v>FY15</c:v>
                </c:pt>
                <c:pt idx="8">
                  <c:v>FY16</c:v>
                </c:pt>
              </c:strCache>
            </c:strRef>
          </c:cat>
          <c:val>
            <c:numRef>
              <c:f>data!$M$169:$M$177</c:f>
              <c:numCache>
                <c:formatCode>0.0%</c:formatCode>
                <c:ptCount val="9"/>
                <c:pt idx="1">
                  <c:v>8.0167851693126846E-2</c:v>
                </c:pt>
                <c:pt idx="2">
                  <c:v>0.27430263839031882</c:v>
                </c:pt>
                <c:pt idx="3">
                  <c:v>0.23747127802868234</c:v>
                </c:pt>
                <c:pt idx="4">
                  <c:v>0.32130439995204413</c:v>
                </c:pt>
                <c:pt idx="5">
                  <c:v>0.44425840829096597</c:v>
                </c:pt>
                <c:pt idx="6">
                  <c:v>0.53636570770725156</c:v>
                </c:pt>
                <c:pt idx="7">
                  <c:v>0.66219541877383237</c:v>
                </c:pt>
                <c:pt idx="8">
                  <c:v>0.66219541877383237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588943568"/>
        <c:axId val="-1588950640"/>
      </c:lineChart>
      <c:catAx>
        <c:axId val="-15889435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Fiscal Year</a:t>
                </a:r>
              </a:p>
            </c:rich>
          </c:tx>
          <c:layout>
            <c:manualLayout>
              <c:xMode val="edge"/>
              <c:yMode val="edge"/>
              <c:x val="0.48422756091902203"/>
              <c:y val="0.91945592070692705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 b="0" baseline="0">
                <a:latin typeface="+mn-lt"/>
                <a:cs typeface="Arial" panose="020B0604020202020204" pitchFamily="34" charset="0"/>
              </a:defRPr>
            </a:pPr>
            <a:endParaRPr lang="en-US"/>
          </a:p>
        </c:txPr>
        <c:crossAx val="-1588950640"/>
        <c:crosses val="autoZero"/>
        <c:auto val="1"/>
        <c:lblAlgn val="ctr"/>
        <c:lblOffset val="100"/>
        <c:noMultiLvlLbl val="0"/>
      </c:catAx>
      <c:valAx>
        <c:axId val="-158895064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Percentage</a:t>
                </a:r>
              </a:p>
            </c:rich>
          </c:tx>
          <c:layout>
            <c:manualLayout>
              <c:xMode val="edge"/>
              <c:yMode val="edge"/>
              <c:x val="4.8473441747445998E-3"/>
              <c:y val="0.36539536980201598"/>
            </c:manualLayout>
          </c:layout>
          <c:overlay val="0"/>
        </c:title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sz="1200">
                <a:solidFill>
                  <a:sysClr val="windowText" lastClr="000000"/>
                </a:solidFill>
                <a:latin typeface="+mn-lt"/>
                <a:cs typeface="Arial" panose="020B0604020202020204" pitchFamily="34" charset="0"/>
              </a:defRPr>
            </a:pPr>
            <a:endParaRPr lang="en-US"/>
          </a:p>
        </c:txPr>
        <c:crossAx val="-1588943568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0000000000004" l="0.70000000000000095" r="0.70000000000000095" t="0.750000000000004" header="0.3" footer="0.3"/>
    <c:pageSetup/>
  </c:printSettings>
  <c:userShapes r:id="rId1"/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4617039265194"/>
          <c:y val="0.143607581541664"/>
          <c:w val="0.798349496295651"/>
          <c:h val="0.7057685758279259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data!$AF$233</c:f>
              <c:strCache>
                <c:ptCount val="1"/>
                <c:pt idx="0">
                  <c:v>VISITS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data!$A$234:$A$243</c:f>
              <c:strCache>
                <c:ptCount val="10"/>
                <c:pt idx="0">
                  <c:v>FY07</c:v>
                </c:pt>
                <c:pt idx="1">
                  <c:v>FY08</c:v>
                </c:pt>
                <c:pt idx="2">
                  <c:v>FY09</c:v>
                </c:pt>
                <c:pt idx="3">
                  <c:v>FY10</c:v>
                </c:pt>
                <c:pt idx="4">
                  <c:v>FY11</c:v>
                </c:pt>
                <c:pt idx="5">
                  <c:v>FY12</c:v>
                </c:pt>
                <c:pt idx="6">
                  <c:v>FY13</c:v>
                </c:pt>
                <c:pt idx="7">
                  <c:v>FY14</c:v>
                </c:pt>
                <c:pt idx="8">
                  <c:v>FY15</c:v>
                </c:pt>
                <c:pt idx="9">
                  <c:v>FY16</c:v>
                </c:pt>
              </c:strCache>
            </c:strRef>
          </c:cat>
          <c:val>
            <c:numRef>
              <c:f>data!$AF$234:$AF$243</c:f>
              <c:numCache>
                <c:formatCode>General</c:formatCode>
                <c:ptCount val="10"/>
                <c:pt idx="2">
                  <c:v>155635</c:v>
                </c:pt>
                <c:pt idx="3">
                  <c:v>142290</c:v>
                </c:pt>
                <c:pt idx="4">
                  <c:v>119831</c:v>
                </c:pt>
                <c:pt idx="5">
                  <c:v>127843</c:v>
                </c:pt>
                <c:pt idx="6">
                  <c:v>106840</c:v>
                </c:pt>
                <c:pt idx="7">
                  <c:v>107864</c:v>
                </c:pt>
                <c:pt idx="8">
                  <c:v>89576</c:v>
                </c:pt>
                <c:pt idx="9">
                  <c:v>88746</c:v>
                </c:pt>
              </c:numCache>
            </c:numRef>
          </c:val>
        </c:ser>
        <c:ser>
          <c:idx val="1"/>
          <c:order val="1"/>
          <c:tx>
            <c:strRef>
              <c:f>data!$AG$233</c:f>
              <c:strCache>
                <c:ptCount val="1"/>
                <c:pt idx="0">
                  <c:v>VIEWS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data!$A$234:$A$243</c:f>
              <c:strCache>
                <c:ptCount val="10"/>
                <c:pt idx="0">
                  <c:v>FY07</c:v>
                </c:pt>
                <c:pt idx="1">
                  <c:v>FY08</c:v>
                </c:pt>
                <c:pt idx="2">
                  <c:v>FY09</c:v>
                </c:pt>
                <c:pt idx="3">
                  <c:v>FY10</c:v>
                </c:pt>
                <c:pt idx="4">
                  <c:v>FY11</c:v>
                </c:pt>
                <c:pt idx="5">
                  <c:v>FY12</c:v>
                </c:pt>
                <c:pt idx="6">
                  <c:v>FY13</c:v>
                </c:pt>
                <c:pt idx="7">
                  <c:v>FY14</c:v>
                </c:pt>
                <c:pt idx="8">
                  <c:v>FY15</c:v>
                </c:pt>
                <c:pt idx="9">
                  <c:v>FY16</c:v>
                </c:pt>
              </c:strCache>
            </c:strRef>
          </c:cat>
          <c:val>
            <c:numRef>
              <c:f>data!$AG$234:$AG$243</c:f>
              <c:numCache>
                <c:formatCode>General</c:formatCode>
                <c:ptCount val="10"/>
                <c:pt idx="2">
                  <c:v>921255</c:v>
                </c:pt>
                <c:pt idx="3">
                  <c:v>801448</c:v>
                </c:pt>
                <c:pt idx="4">
                  <c:v>714477</c:v>
                </c:pt>
                <c:pt idx="5">
                  <c:v>813099</c:v>
                </c:pt>
                <c:pt idx="6">
                  <c:v>917822</c:v>
                </c:pt>
                <c:pt idx="7">
                  <c:v>895322</c:v>
                </c:pt>
                <c:pt idx="8">
                  <c:v>938136</c:v>
                </c:pt>
                <c:pt idx="9">
                  <c:v>893022</c:v>
                </c:pt>
              </c:numCache>
            </c:numRef>
          </c:val>
        </c:ser>
        <c:ser>
          <c:idx val="2"/>
          <c:order val="2"/>
          <c:tx>
            <c:strRef>
              <c:f>data!$AH$233</c:f>
              <c:strCache>
                <c:ptCount val="1"/>
                <c:pt idx="0">
                  <c:v>VISITORS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data!$A$234:$A$243</c:f>
              <c:strCache>
                <c:ptCount val="10"/>
                <c:pt idx="0">
                  <c:v>FY07</c:v>
                </c:pt>
                <c:pt idx="1">
                  <c:v>FY08</c:v>
                </c:pt>
                <c:pt idx="2">
                  <c:v>FY09</c:v>
                </c:pt>
                <c:pt idx="3">
                  <c:v>FY10</c:v>
                </c:pt>
                <c:pt idx="4">
                  <c:v>FY11</c:v>
                </c:pt>
                <c:pt idx="5">
                  <c:v>FY12</c:v>
                </c:pt>
                <c:pt idx="6">
                  <c:v>FY13</c:v>
                </c:pt>
                <c:pt idx="7">
                  <c:v>FY14</c:v>
                </c:pt>
                <c:pt idx="8">
                  <c:v>FY15</c:v>
                </c:pt>
                <c:pt idx="9">
                  <c:v>FY16</c:v>
                </c:pt>
              </c:strCache>
            </c:strRef>
          </c:cat>
          <c:val>
            <c:numRef>
              <c:f>data!$AH$234:$AH$243</c:f>
              <c:numCache>
                <c:formatCode>General</c:formatCode>
                <c:ptCount val="10"/>
                <c:pt idx="2">
                  <c:v>123204</c:v>
                </c:pt>
                <c:pt idx="3">
                  <c:v>117837</c:v>
                </c:pt>
                <c:pt idx="4">
                  <c:v>100968</c:v>
                </c:pt>
                <c:pt idx="5">
                  <c:v>107713</c:v>
                </c:pt>
                <c:pt idx="6">
                  <c:v>87904</c:v>
                </c:pt>
                <c:pt idx="7">
                  <c:v>90311</c:v>
                </c:pt>
                <c:pt idx="8">
                  <c:v>73954</c:v>
                </c:pt>
                <c:pt idx="9">
                  <c:v>72917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1588947920"/>
        <c:axId val="-1588949008"/>
      </c:barChart>
      <c:catAx>
        <c:axId val="-158894792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="1">
                    <a:solidFill>
                      <a:sysClr val="windowText" lastClr="000000"/>
                    </a:solidFill>
                  </a:rPr>
                  <a:t>Fiscal Year</a:t>
                </a:r>
              </a:p>
            </c:rich>
          </c:tx>
          <c:layout>
            <c:manualLayout>
              <c:xMode val="edge"/>
              <c:yMode val="edge"/>
              <c:x val="0.52015726535887796"/>
              <c:y val="0.92867232948051204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588949008"/>
        <c:crosses val="autoZero"/>
        <c:auto val="1"/>
        <c:lblAlgn val="ctr"/>
        <c:lblOffset val="100"/>
        <c:noMultiLvlLbl val="0"/>
      </c:catAx>
      <c:valAx>
        <c:axId val="-1588949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="1">
                    <a:solidFill>
                      <a:sysClr val="windowText" lastClr="000000"/>
                    </a:solidFill>
                  </a:rPr>
                  <a:t>Number </a:t>
                </a:r>
              </a:p>
            </c:rich>
          </c:tx>
          <c:layout>
            <c:manualLayout>
              <c:xMode val="edge"/>
              <c:yMode val="edge"/>
              <c:x val="3.3999234192006499E-3"/>
              <c:y val="0.346614823753157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588947920"/>
        <c:crosses val="autoZero"/>
        <c:crossBetween val="between"/>
      </c:valAx>
      <c:spPr>
        <a:noFill/>
        <a:ln>
          <a:solidFill>
            <a:schemeClr val="bg1">
              <a:lumMod val="50000"/>
            </a:schemeClr>
          </a:solidFill>
        </a:ln>
        <a:effectLst/>
      </c:spPr>
    </c:plotArea>
    <c:legend>
      <c:legendPos val="b"/>
      <c:layout>
        <c:manualLayout>
          <c:xMode val="edge"/>
          <c:yMode val="edge"/>
          <c:x val="0.41325718966384584"/>
          <c:y val="0.1457732283464567"/>
          <c:w val="0.43458209103110301"/>
          <c:h val="7.00697022117758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>
                <a:latin typeface="+mn-lt"/>
                <a:cs typeface="Arial" panose="020B0604020202020204" pitchFamily="34" charset="0"/>
              </a:defRPr>
            </a:pPr>
            <a:r>
              <a:rPr lang="en-US"/>
              <a:t>SEDAC Multi-Year Product Distribution Trend</a:t>
            </a:r>
          </a:p>
        </c:rich>
      </c:tx>
      <c:layout>
        <c:manualLayout>
          <c:xMode val="edge"/>
          <c:yMode val="edge"/>
          <c:x val="0.219374642226661"/>
          <c:y val="4.287412256015359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3107657173634"/>
          <c:y val="0.18225294239347301"/>
          <c:w val="0.85726272307204099"/>
          <c:h val="0.6552930766861140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Summary_data!$O$20</c:f>
              <c:strCache>
                <c:ptCount val="1"/>
                <c:pt idx="0">
                  <c:v>SEDAC</c:v>
                </c:pt>
              </c:strCache>
            </c:strRef>
          </c:tx>
          <c:invertIfNegative val="0"/>
          <c:cat>
            <c:strRef>
              <c:f>Summary_data!$C$21:$C$30</c:f>
              <c:strCache>
                <c:ptCount val="10"/>
                <c:pt idx="0">
                  <c:v>FY07</c:v>
                </c:pt>
                <c:pt idx="1">
                  <c:v>FY08</c:v>
                </c:pt>
                <c:pt idx="2">
                  <c:v>FY09</c:v>
                </c:pt>
                <c:pt idx="3">
                  <c:v>FY10</c:v>
                </c:pt>
                <c:pt idx="4">
                  <c:v>FY11</c:v>
                </c:pt>
                <c:pt idx="5">
                  <c:v>FY12</c:v>
                </c:pt>
                <c:pt idx="6">
                  <c:v>FY13</c:v>
                </c:pt>
                <c:pt idx="7">
                  <c:v>FY14</c:v>
                </c:pt>
                <c:pt idx="8">
                  <c:v>FY15</c:v>
                </c:pt>
                <c:pt idx="9">
                  <c:v>FY16</c:v>
                </c:pt>
              </c:strCache>
            </c:strRef>
          </c:cat>
          <c:val>
            <c:numRef>
              <c:f>Summary_data!$O$21:$O$30</c:f>
              <c:numCache>
                <c:formatCode>_(* #,##0.0_);_(* \(#,##0.0\);_(* "-"??_);_(@_)</c:formatCode>
                <c:ptCount val="10"/>
                <c:pt idx="0">
                  <c:v>0</c:v>
                </c:pt>
                <c:pt idx="1">
                  <c:v>7.4131000000000002E-2</c:v>
                </c:pt>
                <c:pt idx="2">
                  <c:v>0.49062</c:v>
                </c:pt>
                <c:pt idx="3">
                  <c:v>3.5663849999999999</c:v>
                </c:pt>
                <c:pt idx="4">
                  <c:v>4.1586509999999999</c:v>
                </c:pt>
                <c:pt idx="5">
                  <c:v>1.5993269999999999</c:v>
                </c:pt>
                <c:pt idx="6">
                  <c:v>4.6872220000000002</c:v>
                </c:pt>
                <c:pt idx="7">
                  <c:v>6.3922129999999999</c:v>
                </c:pt>
                <c:pt idx="8">
                  <c:v>7.6517379999999999</c:v>
                </c:pt>
                <c:pt idx="9">
                  <c:v>5.7873919999999996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588939216"/>
        <c:axId val="-92416352"/>
      </c:barChart>
      <c:catAx>
        <c:axId val="-15889392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Fiscal Year</a:t>
                </a:r>
              </a:p>
            </c:rich>
          </c:tx>
          <c:layout>
            <c:manualLayout>
              <c:xMode val="edge"/>
              <c:yMode val="edge"/>
              <c:x val="0.51269424232162897"/>
              <c:y val="0.91856945601153805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 b="0" baseline="0">
                <a:latin typeface="+mn-lt"/>
                <a:cs typeface="Arial" panose="020B0604020202020204" pitchFamily="34" charset="0"/>
              </a:defRPr>
            </a:pPr>
            <a:endParaRPr lang="en-US"/>
          </a:p>
        </c:txPr>
        <c:crossAx val="-92416352"/>
        <c:crosses val="autoZero"/>
        <c:auto val="1"/>
        <c:lblAlgn val="ctr"/>
        <c:lblOffset val="100"/>
        <c:noMultiLvlLbl val="0"/>
      </c:catAx>
      <c:valAx>
        <c:axId val="-9241635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Product Distributed (Millions)</a:t>
                </a:r>
              </a:p>
            </c:rich>
          </c:tx>
          <c:layout>
            <c:manualLayout>
              <c:xMode val="edge"/>
              <c:yMode val="edge"/>
              <c:x val="1.6285028493567399E-2"/>
              <c:y val="0.17328868888728299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1200">
                <a:latin typeface="+mn-lt"/>
                <a:cs typeface="Arial" panose="020B0604020202020204" pitchFamily="34" charset="0"/>
              </a:defRPr>
            </a:pPr>
            <a:endParaRPr lang="en-US"/>
          </a:p>
        </c:txPr>
        <c:crossAx val="-1588939216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0000000000004" l="0.70000000000000095" r="0.70000000000000095" t="0.750000000000004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>
                <a:latin typeface="+mn-lt"/>
                <a:cs typeface="Arial" panose="020B0604020202020204" pitchFamily="34" charset="0"/>
              </a:defRPr>
            </a:pPr>
            <a:r>
              <a:rPr lang="en-US"/>
              <a:t>LANCE Multi-Year Weekly</a:t>
            </a:r>
            <a:r>
              <a:rPr lang="en-US" baseline="0"/>
              <a:t> Average </a:t>
            </a:r>
            <a:r>
              <a:rPr lang="en-US"/>
              <a:t>Production Volume Trend</a:t>
            </a:r>
          </a:p>
        </c:rich>
      </c:tx>
      <c:layout>
        <c:manualLayout>
          <c:xMode val="edge"/>
          <c:yMode val="edge"/>
          <c:x val="0.20768917404706677"/>
          <c:y val="2.1984868650389974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56188786714438"/>
          <c:y val="0.18228668594254499"/>
          <c:w val="0.80487043883359"/>
          <c:h val="0.6507674633483110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L_data!$B$159</c:f>
              <c:strCache>
                <c:ptCount val="1"/>
                <c:pt idx="0">
                  <c:v>one week</c:v>
                </c:pt>
              </c:strCache>
            </c:strRef>
          </c:tx>
          <c:invertIfNegative val="0"/>
          <c:cat>
            <c:strRef>
              <c:f>L_data!$A$160:$A$166</c:f>
              <c:strCache>
                <c:ptCount val="7"/>
                <c:pt idx="0">
                  <c:v>FY10</c:v>
                </c:pt>
                <c:pt idx="1">
                  <c:v>FY11</c:v>
                </c:pt>
                <c:pt idx="2">
                  <c:v>FY12</c:v>
                </c:pt>
                <c:pt idx="3">
                  <c:v>FY13</c:v>
                </c:pt>
                <c:pt idx="4">
                  <c:v>FY14</c:v>
                </c:pt>
                <c:pt idx="5">
                  <c:v>FY15</c:v>
                </c:pt>
                <c:pt idx="6">
                  <c:v>FY16</c:v>
                </c:pt>
              </c:strCache>
            </c:strRef>
          </c:cat>
          <c:val>
            <c:numRef>
              <c:f>L_data!$B$160:$B$166</c:f>
              <c:numCache>
                <c:formatCode>_(* #,##0.00_);_(* \(#,##0.00\);_(* "-"??_);_(@_)</c:formatCode>
                <c:ptCount val="7"/>
                <c:pt idx="0">
                  <c:v>0</c:v>
                </c:pt>
                <c:pt idx="1">
                  <c:v>0</c:v>
                </c:pt>
                <c:pt idx="2">
                  <c:v>15.204008052518342</c:v>
                </c:pt>
                <c:pt idx="3">
                  <c:v>15.701408315805288</c:v>
                </c:pt>
                <c:pt idx="4">
                  <c:v>16.356479679987981</c:v>
                </c:pt>
                <c:pt idx="5">
                  <c:v>16.326743895168047</c:v>
                </c:pt>
                <c:pt idx="6">
                  <c:v>20.760576923076922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92441920"/>
        <c:axId val="-92414720"/>
      </c:barChart>
      <c:catAx>
        <c:axId val="-924419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Fiscal Year</a:t>
                </a:r>
              </a:p>
            </c:rich>
          </c:tx>
          <c:layout>
            <c:manualLayout>
              <c:xMode val="edge"/>
              <c:yMode val="edge"/>
              <c:x val="0.49999567596515698"/>
              <c:y val="0.91411120752953801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 b="0" baseline="0">
                <a:latin typeface="+mn-lt"/>
                <a:cs typeface="Arial" panose="020B0604020202020204" pitchFamily="34" charset="0"/>
              </a:defRPr>
            </a:pPr>
            <a:endParaRPr lang="en-US"/>
          </a:p>
        </c:txPr>
        <c:crossAx val="-92414720"/>
        <c:crosses val="autoZero"/>
        <c:auto val="1"/>
        <c:lblAlgn val="ctr"/>
        <c:lblOffset val="100"/>
        <c:noMultiLvlLbl val="0"/>
      </c:catAx>
      <c:valAx>
        <c:axId val="-9241472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Weekly Average Volume (TB)</a:t>
                </a:r>
              </a:p>
            </c:rich>
          </c:tx>
          <c:layout>
            <c:manualLayout>
              <c:xMode val="edge"/>
              <c:yMode val="edge"/>
              <c:x val="4.7572208652556257E-2"/>
              <c:y val="0.13770651789584146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1200">
                <a:latin typeface="+mn-lt"/>
                <a:cs typeface="Arial" panose="020B0604020202020204" pitchFamily="34" charset="0"/>
              </a:defRPr>
            </a:pPr>
            <a:endParaRPr lang="en-US"/>
          </a:p>
        </c:txPr>
        <c:crossAx val="-92441920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0000000000004" l="0.70000000000000095" r="0.70000000000000095" t="0.750000000000004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>
                <a:latin typeface="+mn-lt"/>
                <a:cs typeface="Arial" panose="020B0604020202020204" pitchFamily="34" charset="0"/>
              </a:defRPr>
            </a:pPr>
            <a:r>
              <a:rPr lang="en-US"/>
              <a:t>ASF Multi-Year Total Archive Volume Trend</a:t>
            </a:r>
          </a:p>
        </c:rich>
      </c:tx>
      <c:layout>
        <c:manualLayout>
          <c:xMode val="edge"/>
          <c:yMode val="edge"/>
          <c:x val="0.223544133657093"/>
          <c:y val="3.841216417989099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56188786714438"/>
          <c:y val="0.18228668594254499"/>
          <c:w val="0.80487043883359"/>
          <c:h val="0.6507674633483110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data!$C$156</c:f>
              <c:strCache>
                <c:ptCount val="1"/>
                <c:pt idx="0">
                  <c:v>ASF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invertIfNegative val="0"/>
          <c:cat>
            <c:strRef>
              <c:f>data!$A$157:$A$165</c:f>
              <c:strCache>
                <c:ptCount val="9"/>
                <c:pt idx="0">
                  <c:v>FY08</c:v>
                </c:pt>
                <c:pt idx="1">
                  <c:v>FY09</c:v>
                </c:pt>
                <c:pt idx="2">
                  <c:v>FY10</c:v>
                </c:pt>
                <c:pt idx="3">
                  <c:v>FY11</c:v>
                </c:pt>
                <c:pt idx="4">
                  <c:v>FY12</c:v>
                </c:pt>
                <c:pt idx="5">
                  <c:v>FY13</c:v>
                </c:pt>
                <c:pt idx="6">
                  <c:v>FY14</c:v>
                </c:pt>
                <c:pt idx="7">
                  <c:v>FY15</c:v>
                </c:pt>
                <c:pt idx="8">
                  <c:v>FY16</c:v>
                </c:pt>
              </c:strCache>
            </c:strRef>
          </c:cat>
          <c:val>
            <c:numRef>
              <c:f>data!$C$157:$C$165</c:f>
              <c:numCache>
                <c:formatCode>_(* #,##0.00_);_(* \(#,##0.00\);_(* "-"??_);_(@_)</c:formatCode>
                <c:ptCount val="9"/>
                <c:pt idx="0">
                  <c:v>255.6104873046875</c:v>
                </c:pt>
                <c:pt idx="1">
                  <c:v>376.68700000000001</c:v>
                </c:pt>
                <c:pt idx="2">
                  <c:v>448.4706982421875</c:v>
                </c:pt>
                <c:pt idx="3">
                  <c:v>1801.57</c:v>
                </c:pt>
                <c:pt idx="4">
                  <c:v>2654.908486328125</c:v>
                </c:pt>
                <c:pt idx="5">
                  <c:v>3597.0542089843748</c:v>
                </c:pt>
                <c:pt idx="6">
                  <c:v>1486.062054989158</c:v>
                </c:pt>
                <c:pt idx="7">
                  <c:v>2136.66015625</c:v>
                </c:pt>
                <c:pt idx="8">
                  <c:v>2656.0791894531249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80989792"/>
        <c:axId val="-181009920"/>
      </c:barChart>
      <c:catAx>
        <c:axId val="-1809897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Fiscal Year</a:t>
                </a:r>
              </a:p>
            </c:rich>
          </c:tx>
          <c:layout>
            <c:manualLayout>
              <c:xMode val="edge"/>
              <c:yMode val="edge"/>
              <c:x val="0.49999567596515698"/>
              <c:y val="0.91411120752953801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 b="0" baseline="0">
                <a:latin typeface="+mn-lt"/>
                <a:cs typeface="Arial" panose="020B0604020202020204" pitchFamily="34" charset="0"/>
              </a:defRPr>
            </a:pPr>
            <a:endParaRPr lang="en-US"/>
          </a:p>
        </c:txPr>
        <c:crossAx val="-181009920"/>
        <c:crosses val="autoZero"/>
        <c:auto val="1"/>
        <c:lblAlgn val="ctr"/>
        <c:lblOffset val="100"/>
        <c:noMultiLvlLbl val="0"/>
      </c:catAx>
      <c:valAx>
        <c:axId val="-18100992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Volume (TB)</a:t>
                </a:r>
              </a:p>
            </c:rich>
          </c:tx>
          <c:layout>
            <c:manualLayout>
              <c:xMode val="edge"/>
              <c:yMode val="edge"/>
              <c:x val="1.62849872773537E-2"/>
              <c:y val="0.34790157257870402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1200">
                <a:latin typeface="+mn-lt"/>
                <a:cs typeface="Arial" panose="020B0604020202020204" pitchFamily="34" charset="0"/>
              </a:defRPr>
            </a:pPr>
            <a:endParaRPr lang="en-US"/>
          </a:p>
        </c:txPr>
        <c:crossAx val="-180989792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0000000000004" l="0.70000000000000095" r="0.70000000000000095" t="0.750000000000004" header="0.3" footer="0.3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8982927746641"/>
          <c:y val="0.14901950216041901"/>
          <c:w val="0.85018015139071501"/>
          <c:h val="0.6889119786057470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6">
                <a:lumMod val="75000"/>
              </a:schemeClr>
            </a:solidFill>
          </c:spPr>
          <c:invertIfNegative val="0"/>
          <c:cat>
            <c:strRef>
              <c:f>L_Summary_data!$B$19:$B$25</c:f>
              <c:strCache>
                <c:ptCount val="7"/>
                <c:pt idx="0">
                  <c:v>FY10</c:v>
                </c:pt>
                <c:pt idx="1">
                  <c:v>FY11</c:v>
                </c:pt>
                <c:pt idx="2">
                  <c:v>FY12</c:v>
                </c:pt>
                <c:pt idx="3">
                  <c:v>FY13</c:v>
                </c:pt>
                <c:pt idx="4">
                  <c:v>FY14</c:v>
                </c:pt>
                <c:pt idx="5">
                  <c:v>FY15</c:v>
                </c:pt>
                <c:pt idx="6">
                  <c:v>FY16</c:v>
                </c:pt>
              </c:strCache>
            </c:strRef>
          </c:cat>
          <c:val>
            <c:numRef>
              <c:f>L_Summary_data!$C$19:$C$25</c:f>
              <c:numCache>
                <c:formatCode>_(* #,##0.00_);_(* \(#,##0.00\);_(* "-"??_);_(@_)</c:formatCode>
                <c:ptCount val="7"/>
                <c:pt idx="0">
                  <c:v>239.357451171875</c:v>
                </c:pt>
                <c:pt idx="1">
                  <c:v>475.84899414062494</c:v>
                </c:pt>
                <c:pt idx="2">
                  <c:v>833.81921875</c:v>
                </c:pt>
                <c:pt idx="3">
                  <c:v>856.63578125000004</c:v>
                </c:pt>
                <c:pt idx="4">
                  <c:v>891.62641206054695</c:v>
                </c:pt>
                <c:pt idx="5">
                  <c:v>786.36682507619889</c:v>
                </c:pt>
                <c:pt idx="6" formatCode="_(* #,##0.0_);_(* \(#,##0.0\);_(* &quot;-&quot;??_);_(@_)">
                  <c:v>763.04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92440288"/>
        <c:axId val="-92438112"/>
      </c:barChart>
      <c:catAx>
        <c:axId val="-924402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Fiscal Year</a:t>
                </a:r>
              </a:p>
            </c:rich>
          </c:tx>
          <c:layout>
            <c:manualLayout>
              <c:xMode val="edge"/>
              <c:yMode val="edge"/>
              <c:x val="0.48422756091902203"/>
              <c:y val="0.91945592070692705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 b="0" baseline="0">
                <a:latin typeface="+mn-lt"/>
                <a:cs typeface="Arial" panose="020B0604020202020204" pitchFamily="34" charset="0"/>
              </a:defRPr>
            </a:pPr>
            <a:endParaRPr lang="en-US"/>
          </a:p>
        </c:txPr>
        <c:crossAx val="-92438112"/>
        <c:crosses val="autoZero"/>
        <c:auto val="1"/>
        <c:lblAlgn val="ctr"/>
        <c:lblOffset val="100"/>
        <c:noMultiLvlLbl val="0"/>
      </c:catAx>
      <c:valAx>
        <c:axId val="-9243811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Volume (TB)</a:t>
                </a:r>
              </a:p>
            </c:rich>
          </c:tx>
          <c:layout>
            <c:manualLayout>
              <c:xMode val="edge"/>
              <c:yMode val="edge"/>
              <c:x val="4.8473441747445998E-3"/>
              <c:y val="0.36539536980201598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1200">
                <a:solidFill>
                  <a:sysClr val="windowText" lastClr="000000"/>
                </a:solidFill>
                <a:latin typeface="+mn-lt"/>
                <a:cs typeface="Arial" panose="020B0604020202020204" pitchFamily="34" charset="0"/>
              </a:defRPr>
            </a:pPr>
            <a:endParaRPr lang="en-US"/>
          </a:p>
        </c:txPr>
        <c:crossAx val="-92440288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0000000000004" l="0.70000000000000095" r="0.70000000000000095" t="0.750000000000004" header="0.3" footer="0.3"/>
    <c:pageSetup/>
  </c:printSettings>
  <c:userShapes r:id="rId1"/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4617039265194"/>
          <c:y val="0.143607581541664"/>
          <c:w val="0.798349496295651"/>
          <c:h val="0.7057685758279259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L_data!$B$233</c:f>
              <c:strCache>
                <c:ptCount val="1"/>
                <c:pt idx="0">
                  <c:v>VISITS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L_data!$A$234:$A$240</c:f>
              <c:strCache>
                <c:ptCount val="7"/>
                <c:pt idx="0">
                  <c:v>FY10</c:v>
                </c:pt>
                <c:pt idx="1">
                  <c:v>FY11</c:v>
                </c:pt>
                <c:pt idx="2">
                  <c:v>FY12</c:v>
                </c:pt>
                <c:pt idx="3">
                  <c:v>FY13</c:v>
                </c:pt>
                <c:pt idx="4">
                  <c:v>FY14</c:v>
                </c:pt>
                <c:pt idx="5">
                  <c:v>FY15</c:v>
                </c:pt>
                <c:pt idx="6">
                  <c:v>FY16</c:v>
                </c:pt>
              </c:strCache>
            </c:strRef>
          </c:cat>
          <c:val>
            <c:numRef>
              <c:f>L_data!$B$234:$B$240</c:f>
              <c:numCache>
                <c:formatCode>_(* #,##0_);_(* \(#,##0\);_(* "-"??_);_(@_)</c:formatCode>
                <c:ptCount val="7"/>
                <c:pt idx="2">
                  <c:v>592471</c:v>
                </c:pt>
                <c:pt idx="3">
                  <c:v>555306</c:v>
                </c:pt>
                <c:pt idx="4">
                  <c:v>399036</c:v>
                </c:pt>
                <c:pt idx="5">
                  <c:v>349520</c:v>
                </c:pt>
                <c:pt idx="6">
                  <c:v>318452</c:v>
                </c:pt>
              </c:numCache>
            </c:numRef>
          </c:val>
        </c:ser>
        <c:ser>
          <c:idx val="1"/>
          <c:order val="1"/>
          <c:tx>
            <c:strRef>
              <c:f>L_data!$C$233</c:f>
              <c:strCache>
                <c:ptCount val="1"/>
                <c:pt idx="0">
                  <c:v>VIEWS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L_data!$A$234:$A$240</c:f>
              <c:strCache>
                <c:ptCount val="7"/>
                <c:pt idx="0">
                  <c:v>FY10</c:v>
                </c:pt>
                <c:pt idx="1">
                  <c:v>FY11</c:v>
                </c:pt>
                <c:pt idx="2">
                  <c:v>FY12</c:v>
                </c:pt>
                <c:pt idx="3">
                  <c:v>FY13</c:v>
                </c:pt>
                <c:pt idx="4">
                  <c:v>FY14</c:v>
                </c:pt>
                <c:pt idx="5">
                  <c:v>FY15</c:v>
                </c:pt>
                <c:pt idx="6">
                  <c:v>FY16</c:v>
                </c:pt>
              </c:strCache>
            </c:strRef>
          </c:cat>
          <c:val>
            <c:numRef>
              <c:f>L_data!$C$234:$C$240</c:f>
              <c:numCache>
                <c:formatCode>_(* #,##0_);_(* \(#,##0\);_(* "-"??_);_(@_)</c:formatCode>
                <c:ptCount val="7"/>
                <c:pt idx="2">
                  <c:v>6582527</c:v>
                </c:pt>
                <c:pt idx="3">
                  <c:v>5791919</c:v>
                </c:pt>
                <c:pt idx="4">
                  <c:v>4085298</c:v>
                </c:pt>
                <c:pt idx="5">
                  <c:v>3443353</c:v>
                </c:pt>
                <c:pt idx="6">
                  <c:v>3076663</c:v>
                </c:pt>
              </c:numCache>
            </c:numRef>
          </c:val>
        </c:ser>
        <c:ser>
          <c:idx val="2"/>
          <c:order val="2"/>
          <c:tx>
            <c:strRef>
              <c:f>L_data!$D$233</c:f>
              <c:strCache>
                <c:ptCount val="1"/>
                <c:pt idx="0">
                  <c:v>VISITORS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L_data!$A$234:$A$240</c:f>
              <c:strCache>
                <c:ptCount val="7"/>
                <c:pt idx="0">
                  <c:v>FY10</c:v>
                </c:pt>
                <c:pt idx="1">
                  <c:v>FY11</c:v>
                </c:pt>
                <c:pt idx="2">
                  <c:v>FY12</c:v>
                </c:pt>
                <c:pt idx="3">
                  <c:v>FY13</c:v>
                </c:pt>
                <c:pt idx="4">
                  <c:v>FY14</c:v>
                </c:pt>
                <c:pt idx="5">
                  <c:v>FY15</c:v>
                </c:pt>
                <c:pt idx="6">
                  <c:v>FY16</c:v>
                </c:pt>
              </c:strCache>
            </c:strRef>
          </c:cat>
          <c:val>
            <c:numRef>
              <c:f>L_data!$D$234:$D$240</c:f>
              <c:numCache>
                <c:formatCode>_(* #,##0_);_(* \(#,##0\);_(* "-"??_);_(@_)</c:formatCode>
                <c:ptCount val="7"/>
                <c:pt idx="2">
                  <c:v>325462</c:v>
                </c:pt>
                <c:pt idx="3">
                  <c:v>298036</c:v>
                </c:pt>
                <c:pt idx="4">
                  <c:v>224482</c:v>
                </c:pt>
                <c:pt idx="5">
                  <c:v>198199</c:v>
                </c:pt>
                <c:pt idx="6">
                  <c:v>185720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92417440"/>
        <c:axId val="-92435392"/>
      </c:barChart>
      <c:catAx>
        <c:axId val="-9241744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="1">
                    <a:solidFill>
                      <a:sysClr val="windowText" lastClr="000000"/>
                    </a:solidFill>
                  </a:rPr>
                  <a:t>Fiscal Year</a:t>
                </a:r>
              </a:p>
            </c:rich>
          </c:tx>
          <c:layout>
            <c:manualLayout>
              <c:xMode val="edge"/>
              <c:yMode val="edge"/>
              <c:x val="0.52015726535887796"/>
              <c:y val="0.9286723294805120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92435392"/>
        <c:crosses val="autoZero"/>
        <c:auto val="1"/>
        <c:lblAlgn val="ctr"/>
        <c:lblOffset val="100"/>
        <c:noMultiLvlLbl val="0"/>
      </c:catAx>
      <c:valAx>
        <c:axId val="-92435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="1">
                    <a:solidFill>
                      <a:sysClr val="windowText" lastClr="000000"/>
                    </a:solidFill>
                  </a:rPr>
                  <a:t>Number </a:t>
                </a:r>
              </a:p>
            </c:rich>
          </c:tx>
          <c:layout>
            <c:manualLayout>
              <c:xMode val="edge"/>
              <c:yMode val="edge"/>
              <c:x val="3.3999234192006499E-3"/>
              <c:y val="0.34661482375315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92417440"/>
        <c:crosses val="autoZero"/>
        <c:crossBetween val="between"/>
      </c:valAx>
      <c:spPr>
        <a:noFill/>
        <a:ln>
          <a:solidFill>
            <a:schemeClr val="bg1">
              <a:lumMod val="50000"/>
            </a:schemeClr>
          </a:solidFill>
        </a:ln>
        <a:effectLst/>
      </c:spPr>
    </c:plotArea>
    <c:legend>
      <c:legendPos val="b"/>
      <c:layout>
        <c:manualLayout>
          <c:xMode val="edge"/>
          <c:yMode val="edge"/>
          <c:x val="0.5359046966237091"/>
          <c:y val="0.16789885105787741"/>
          <c:w val="0.43458209103110301"/>
          <c:h val="7.00697022117758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>
                <a:latin typeface="+mn-lt"/>
                <a:cs typeface="Arial" panose="020B0604020202020204" pitchFamily="34" charset="0"/>
              </a:defRPr>
            </a:pPr>
            <a:r>
              <a:rPr lang="en-US"/>
              <a:t>LANCE Multi-Year Product Distribution Trend</a:t>
            </a:r>
          </a:p>
        </c:rich>
      </c:tx>
      <c:layout>
        <c:manualLayout>
          <c:xMode val="edge"/>
          <c:yMode val="edge"/>
          <c:x val="0.219374642226661"/>
          <c:y val="4.287412256015359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3107657173634"/>
          <c:y val="0.18225294239347301"/>
          <c:w val="0.85726272307204099"/>
          <c:h val="0.6552930766861140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L_Summary_data!$C$8</c:f>
              <c:strCache>
                <c:ptCount val="1"/>
                <c:pt idx="0">
                  <c:v>LANCE</c:v>
                </c:pt>
              </c:strCache>
            </c:strRef>
          </c:tx>
          <c:invertIfNegative val="0"/>
          <c:cat>
            <c:strRef>
              <c:f>L_Summary_data!$B$9:$B$15</c:f>
              <c:strCache>
                <c:ptCount val="7"/>
                <c:pt idx="0">
                  <c:v>FY10</c:v>
                </c:pt>
                <c:pt idx="1">
                  <c:v>FY11</c:v>
                </c:pt>
                <c:pt idx="2">
                  <c:v>FY12</c:v>
                </c:pt>
                <c:pt idx="3">
                  <c:v>FY13</c:v>
                </c:pt>
                <c:pt idx="4">
                  <c:v>FY14</c:v>
                </c:pt>
                <c:pt idx="5">
                  <c:v>FY15</c:v>
                </c:pt>
                <c:pt idx="6">
                  <c:v>FY16</c:v>
                </c:pt>
              </c:strCache>
            </c:strRef>
          </c:cat>
          <c:val>
            <c:numRef>
              <c:f>L_Summary_data!$C$9:$C$15</c:f>
              <c:numCache>
                <c:formatCode>_(* #,##0.0_);_(* \(#,##0.0\);_(* "-"??_);_(@_)</c:formatCode>
                <c:ptCount val="7"/>
                <c:pt idx="0">
                  <c:v>17.264521999999999</c:v>
                </c:pt>
                <c:pt idx="1">
                  <c:v>22.105111999999998</c:v>
                </c:pt>
                <c:pt idx="2">
                  <c:v>65.958472999999998</c:v>
                </c:pt>
                <c:pt idx="3">
                  <c:v>89.748705000000001</c:v>
                </c:pt>
                <c:pt idx="4">
                  <c:v>69.865531000000004</c:v>
                </c:pt>
                <c:pt idx="5">
                  <c:v>72.539675000000003</c:v>
                </c:pt>
                <c:pt idx="6">
                  <c:v>76.3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92416896"/>
        <c:axId val="-92422336"/>
      </c:barChart>
      <c:catAx>
        <c:axId val="-924168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Fiscal Year</a:t>
                </a:r>
              </a:p>
            </c:rich>
          </c:tx>
          <c:layout>
            <c:manualLayout>
              <c:xMode val="edge"/>
              <c:yMode val="edge"/>
              <c:x val="0.51269424232162897"/>
              <c:y val="0.91856945601153805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 b="0" baseline="0">
                <a:latin typeface="+mn-lt"/>
                <a:cs typeface="Arial" panose="020B0604020202020204" pitchFamily="34" charset="0"/>
              </a:defRPr>
            </a:pPr>
            <a:endParaRPr lang="en-US"/>
          </a:p>
        </c:txPr>
        <c:crossAx val="-92422336"/>
        <c:crosses val="autoZero"/>
        <c:auto val="1"/>
        <c:lblAlgn val="ctr"/>
        <c:lblOffset val="100"/>
        <c:noMultiLvlLbl val="0"/>
      </c:catAx>
      <c:valAx>
        <c:axId val="-9242233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Product Distributed (Millions)</a:t>
                </a:r>
              </a:p>
            </c:rich>
          </c:tx>
          <c:layout>
            <c:manualLayout>
              <c:xMode val="edge"/>
              <c:yMode val="edge"/>
              <c:x val="1.6285028493567399E-2"/>
              <c:y val="0.17328868888728299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1200">
                <a:latin typeface="+mn-lt"/>
                <a:cs typeface="Arial" panose="020B0604020202020204" pitchFamily="34" charset="0"/>
              </a:defRPr>
            </a:pPr>
            <a:endParaRPr lang="en-US"/>
          </a:p>
        </c:txPr>
        <c:crossAx val="-92416896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0000000000004" l="0.70000000000000095" r="0.70000000000000095" t="0.750000000000004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data!$C$2</c:f>
          <c:strCache>
            <c:ptCount val="1"/>
            <c:pt idx="0">
              <c:v>ASF</c:v>
            </c:pt>
          </c:strCache>
        </c:strRef>
      </c:tx>
      <c:layout>
        <c:manualLayout>
          <c:xMode val="edge"/>
          <c:yMode val="edge"/>
          <c:x val="0.15412995672838201"/>
          <c:y val="4.7340824391568399E-2"/>
        </c:manualLayout>
      </c:layout>
      <c:overlay val="0"/>
      <c:txPr>
        <a:bodyPr/>
        <a:lstStyle/>
        <a:p>
          <a:pPr>
            <a:defRPr sz="1600">
              <a:latin typeface="+mn-lt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data!$B$168</c:f>
              <c:strCache>
                <c:ptCount val="1"/>
                <c:pt idx="0">
                  <c:v>ASDC</c:v>
                </c:pt>
              </c:strCache>
            </c:strRef>
          </c:tx>
          <c:invertIfNegative val="0"/>
          <c:cat>
            <c:strRef>
              <c:f>data!$A$169:$A$176</c:f>
              <c:strCache>
                <c:ptCount val="8"/>
                <c:pt idx="0">
                  <c:v>FY08</c:v>
                </c:pt>
                <c:pt idx="1">
                  <c:v>FY09</c:v>
                </c:pt>
                <c:pt idx="2">
                  <c:v>FY10</c:v>
                </c:pt>
                <c:pt idx="3">
                  <c:v>FY11</c:v>
                </c:pt>
                <c:pt idx="4">
                  <c:v>FY12</c:v>
                </c:pt>
                <c:pt idx="5">
                  <c:v>FY13</c:v>
                </c:pt>
                <c:pt idx="6">
                  <c:v>FY14</c:v>
                </c:pt>
                <c:pt idx="7">
                  <c:v>FY15</c:v>
                </c:pt>
              </c:strCache>
            </c:strRef>
          </c:cat>
          <c:val>
            <c:numRef>
              <c:f>data!$B$169:$B$176</c:f>
              <c:numCache>
                <c:formatCode>0.0%</c:formatCode>
                <c:ptCount val="8"/>
                <c:pt idx="0">
                  <c:v>2.6576141684055352E-3</c:v>
                </c:pt>
                <c:pt idx="1">
                  <c:v>3.0116919157454165E-3</c:v>
                </c:pt>
                <c:pt idx="2">
                  <c:v>4.2365347001569369E-3</c:v>
                </c:pt>
                <c:pt idx="3">
                  <c:v>1.804059133049361E-3</c:v>
                </c:pt>
                <c:pt idx="4">
                  <c:v>5.3350104639941012E-3</c:v>
                </c:pt>
                <c:pt idx="5">
                  <c:v>7.2200100691107143E-3</c:v>
                </c:pt>
                <c:pt idx="6">
                  <c:v>1.308025876164072E-2</c:v>
                </c:pt>
                <c:pt idx="7">
                  <c:v>9.3063551506343978E-3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92415808"/>
        <c:axId val="-92412544"/>
      </c:barChart>
      <c:catAx>
        <c:axId val="-924158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 b="1" baseline="0">
                <a:latin typeface="+mn-lt"/>
                <a:cs typeface="Arial" panose="020B0604020202020204" pitchFamily="34" charset="0"/>
              </a:defRPr>
            </a:pPr>
            <a:endParaRPr lang="en-US"/>
          </a:p>
        </c:txPr>
        <c:crossAx val="-92412544"/>
        <c:crosses val="autoZero"/>
        <c:auto val="1"/>
        <c:lblAlgn val="ctr"/>
        <c:lblOffset val="100"/>
        <c:noMultiLvlLbl val="0"/>
      </c:catAx>
      <c:valAx>
        <c:axId val="-9241254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400" baseline="0"/>
                </a:pPr>
                <a:r>
                  <a:rPr lang="en-US" sz="1400" baseline="0"/>
                  <a:t>Percentage Web Users Accessing Data</a:t>
                </a:r>
              </a:p>
            </c:rich>
          </c:tx>
          <c:overlay val="0"/>
        </c:title>
        <c:numFmt formatCode="_(* #,##0_);_(* \(#,##0\);_(* &quot;-&quot;_);_(@_)" sourceLinked="0"/>
        <c:majorTickMark val="out"/>
        <c:minorTickMark val="none"/>
        <c:tickLblPos val="nextTo"/>
        <c:txPr>
          <a:bodyPr/>
          <a:lstStyle/>
          <a:p>
            <a:pPr>
              <a:defRPr>
                <a:latin typeface="+mn-lt"/>
                <a:cs typeface="Arial" panose="020B0604020202020204" pitchFamily="34" charset="0"/>
              </a:defRPr>
            </a:pPr>
            <a:endParaRPr lang="en-US"/>
          </a:p>
        </c:txPr>
        <c:crossAx val="-92415808"/>
        <c:crosses val="autoZero"/>
        <c:crossBetween val="between"/>
      </c:valAx>
      <c:spPr>
        <a:ln>
          <a:solidFill>
            <a:schemeClr val="accent1"/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0000000000004" l="0.70000000000000095" r="0.70000000000000095" t="0.750000000000004" header="0.3" footer="0.3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8982927746641"/>
          <c:y val="0.14901950216041901"/>
          <c:w val="0.85018015139071501"/>
          <c:h val="0.68891197860574704"/>
        </c:manualLayout>
      </c:layout>
      <c:lineChart>
        <c:grouping val="standard"/>
        <c:varyColors val="0"/>
        <c:ser>
          <c:idx val="0"/>
          <c:order val="0"/>
          <c:tx>
            <c:strRef>
              <c:f>data!$C$168</c:f>
              <c:strCache>
                <c:ptCount val="1"/>
                <c:pt idx="0">
                  <c:v>ASF</c:v>
                </c:pt>
              </c:strCache>
            </c:strRef>
          </c:tx>
          <c:marker>
            <c:symbol val="none"/>
          </c:marker>
          <c:cat>
            <c:strRef>
              <c:f>data!$A$169:$A$177</c:f>
              <c:strCache>
                <c:ptCount val="9"/>
                <c:pt idx="0">
                  <c:v>FY08</c:v>
                </c:pt>
                <c:pt idx="1">
                  <c:v>FY09</c:v>
                </c:pt>
                <c:pt idx="2">
                  <c:v>FY10</c:v>
                </c:pt>
                <c:pt idx="3">
                  <c:v>FY11</c:v>
                </c:pt>
                <c:pt idx="4">
                  <c:v>FY12</c:v>
                </c:pt>
                <c:pt idx="5">
                  <c:v>FY13</c:v>
                </c:pt>
                <c:pt idx="6">
                  <c:v>FY14</c:v>
                </c:pt>
                <c:pt idx="7">
                  <c:v>FY15</c:v>
                </c:pt>
                <c:pt idx="8">
                  <c:v>FY16</c:v>
                </c:pt>
              </c:strCache>
            </c:strRef>
          </c:cat>
          <c:val>
            <c:numRef>
              <c:f>data!$C$169:$C$177</c:f>
              <c:numCache>
                <c:formatCode>0.0%</c:formatCode>
                <c:ptCount val="9"/>
                <c:pt idx="0">
                  <c:v>4.2850024912805179E-2</c:v>
                </c:pt>
                <c:pt idx="1">
                  <c:v>6.5149136577708003E-2</c:v>
                </c:pt>
                <c:pt idx="2">
                  <c:v>4.4993735049550065E-2</c:v>
                </c:pt>
                <c:pt idx="3">
                  <c:v>0.14648586707410235</c:v>
                </c:pt>
                <c:pt idx="4">
                  <c:v>0.20397167487684728</c:v>
                </c:pt>
                <c:pt idx="5">
                  <c:v>0.20597179983411668</c:v>
                </c:pt>
                <c:pt idx="6">
                  <c:v>0.14301525812317178</c:v>
                </c:pt>
                <c:pt idx="7">
                  <c:v>0.15005534433803358</c:v>
                </c:pt>
                <c:pt idx="8">
                  <c:v>0.15005534433803358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81007200"/>
        <c:axId val="-181008288"/>
      </c:lineChart>
      <c:catAx>
        <c:axId val="-1810072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Fiscal Year</a:t>
                </a:r>
              </a:p>
            </c:rich>
          </c:tx>
          <c:layout>
            <c:manualLayout>
              <c:xMode val="edge"/>
              <c:yMode val="edge"/>
              <c:x val="0.48422756091902203"/>
              <c:y val="0.91945592070692705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 b="0" baseline="0">
                <a:latin typeface="+mn-lt"/>
                <a:cs typeface="Arial" panose="020B0604020202020204" pitchFamily="34" charset="0"/>
              </a:defRPr>
            </a:pPr>
            <a:endParaRPr lang="en-US"/>
          </a:p>
        </c:txPr>
        <c:crossAx val="-181008288"/>
        <c:crosses val="autoZero"/>
        <c:auto val="1"/>
        <c:lblAlgn val="ctr"/>
        <c:lblOffset val="100"/>
        <c:noMultiLvlLbl val="0"/>
      </c:catAx>
      <c:valAx>
        <c:axId val="-18100828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Percentage</a:t>
                </a:r>
              </a:p>
            </c:rich>
          </c:tx>
          <c:layout>
            <c:manualLayout>
              <c:xMode val="edge"/>
              <c:yMode val="edge"/>
              <c:x val="4.8473441747445998E-3"/>
              <c:y val="0.36539536980201598"/>
            </c:manualLayout>
          </c:layout>
          <c:overlay val="0"/>
        </c:title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sz="1200">
                <a:solidFill>
                  <a:sysClr val="windowText" lastClr="000000"/>
                </a:solidFill>
                <a:latin typeface="+mn-lt"/>
                <a:cs typeface="Arial" panose="020B0604020202020204" pitchFamily="34" charset="0"/>
              </a:defRPr>
            </a:pPr>
            <a:endParaRPr lang="en-US"/>
          </a:p>
        </c:txPr>
        <c:crossAx val="-181007200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0000000000004" l="0.70000000000000095" r="0.70000000000000095" t="0.750000000000004" header="0.3" footer="0.3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44377647232707"/>
          <c:y val="0.143607581541664"/>
          <c:w val="0.80852879025372704"/>
          <c:h val="0.7057685758279259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data!$E$233</c:f>
              <c:strCache>
                <c:ptCount val="1"/>
                <c:pt idx="0">
                  <c:v>VISITS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data!$A$234:$A$243</c:f>
              <c:strCache>
                <c:ptCount val="10"/>
                <c:pt idx="0">
                  <c:v>FY07</c:v>
                </c:pt>
                <c:pt idx="1">
                  <c:v>FY08</c:v>
                </c:pt>
                <c:pt idx="2">
                  <c:v>FY09</c:v>
                </c:pt>
                <c:pt idx="3">
                  <c:v>FY10</c:v>
                </c:pt>
                <c:pt idx="4">
                  <c:v>FY11</c:v>
                </c:pt>
                <c:pt idx="5">
                  <c:v>FY12</c:v>
                </c:pt>
                <c:pt idx="6">
                  <c:v>FY13</c:v>
                </c:pt>
                <c:pt idx="7">
                  <c:v>FY14</c:v>
                </c:pt>
                <c:pt idx="8">
                  <c:v>FY15</c:v>
                </c:pt>
                <c:pt idx="9">
                  <c:v>FY16</c:v>
                </c:pt>
              </c:strCache>
            </c:strRef>
          </c:cat>
          <c:val>
            <c:numRef>
              <c:f>data!$E$234:$E$243</c:f>
              <c:numCache>
                <c:formatCode>General</c:formatCode>
                <c:ptCount val="10"/>
                <c:pt idx="1">
                  <c:v>7745</c:v>
                </c:pt>
                <c:pt idx="2">
                  <c:v>6366</c:v>
                </c:pt>
                <c:pt idx="3">
                  <c:v>16270</c:v>
                </c:pt>
                <c:pt idx="4">
                  <c:v>13772</c:v>
                </c:pt>
                <c:pt idx="5">
                  <c:v>13439</c:v>
                </c:pt>
                <c:pt idx="6">
                  <c:v>13782</c:v>
                </c:pt>
                <c:pt idx="7">
                  <c:v>20584</c:v>
                </c:pt>
                <c:pt idx="8">
                  <c:v>30739</c:v>
                </c:pt>
                <c:pt idx="9">
                  <c:v>65720</c:v>
                </c:pt>
              </c:numCache>
            </c:numRef>
          </c:val>
        </c:ser>
        <c:ser>
          <c:idx val="1"/>
          <c:order val="1"/>
          <c:tx>
            <c:strRef>
              <c:f>data!$F$233</c:f>
              <c:strCache>
                <c:ptCount val="1"/>
                <c:pt idx="0">
                  <c:v>VIEWS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data!$A$234:$A$243</c:f>
              <c:strCache>
                <c:ptCount val="10"/>
                <c:pt idx="0">
                  <c:v>FY07</c:v>
                </c:pt>
                <c:pt idx="1">
                  <c:v>FY08</c:v>
                </c:pt>
                <c:pt idx="2">
                  <c:v>FY09</c:v>
                </c:pt>
                <c:pt idx="3">
                  <c:v>FY10</c:v>
                </c:pt>
                <c:pt idx="4">
                  <c:v>FY11</c:v>
                </c:pt>
                <c:pt idx="5">
                  <c:v>FY12</c:v>
                </c:pt>
                <c:pt idx="6">
                  <c:v>FY13</c:v>
                </c:pt>
                <c:pt idx="7">
                  <c:v>FY14</c:v>
                </c:pt>
                <c:pt idx="8">
                  <c:v>FY15</c:v>
                </c:pt>
                <c:pt idx="9">
                  <c:v>FY16</c:v>
                </c:pt>
              </c:strCache>
            </c:strRef>
          </c:cat>
          <c:val>
            <c:numRef>
              <c:f>data!$F$234:$F$243</c:f>
              <c:numCache>
                <c:formatCode>General</c:formatCode>
                <c:ptCount val="10"/>
                <c:pt idx="1">
                  <c:v>86406</c:v>
                </c:pt>
                <c:pt idx="2">
                  <c:v>86010</c:v>
                </c:pt>
                <c:pt idx="3">
                  <c:v>184821</c:v>
                </c:pt>
                <c:pt idx="4">
                  <c:v>177994</c:v>
                </c:pt>
                <c:pt idx="5">
                  <c:v>124754</c:v>
                </c:pt>
                <c:pt idx="6">
                  <c:v>122536</c:v>
                </c:pt>
                <c:pt idx="7">
                  <c:v>142425</c:v>
                </c:pt>
                <c:pt idx="8">
                  <c:v>203901</c:v>
                </c:pt>
                <c:pt idx="9">
                  <c:v>295582</c:v>
                </c:pt>
              </c:numCache>
            </c:numRef>
          </c:val>
        </c:ser>
        <c:ser>
          <c:idx val="2"/>
          <c:order val="2"/>
          <c:tx>
            <c:strRef>
              <c:f>data!$G$233</c:f>
              <c:strCache>
                <c:ptCount val="1"/>
                <c:pt idx="0">
                  <c:v>VISITORS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data!$A$234:$A$243</c:f>
              <c:strCache>
                <c:ptCount val="10"/>
                <c:pt idx="0">
                  <c:v>FY07</c:v>
                </c:pt>
                <c:pt idx="1">
                  <c:v>FY08</c:v>
                </c:pt>
                <c:pt idx="2">
                  <c:v>FY09</c:v>
                </c:pt>
                <c:pt idx="3">
                  <c:v>FY10</c:v>
                </c:pt>
                <c:pt idx="4">
                  <c:v>FY11</c:v>
                </c:pt>
                <c:pt idx="5">
                  <c:v>FY12</c:v>
                </c:pt>
                <c:pt idx="6">
                  <c:v>FY13</c:v>
                </c:pt>
                <c:pt idx="7">
                  <c:v>FY14</c:v>
                </c:pt>
                <c:pt idx="8">
                  <c:v>FY15</c:v>
                </c:pt>
                <c:pt idx="9">
                  <c:v>FY16</c:v>
                </c:pt>
              </c:strCache>
            </c:strRef>
          </c:cat>
          <c:val>
            <c:numRef>
              <c:f>data!$G$234:$G$243</c:f>
              <c:numCache>
                <c:formatCode>General</c:formatCode>
                <c:ptCount val="10"/>
                <c:pt idx="1">
                  <c:v>4014</c:v>
                </c:pt>
                <c:pt idx="2">
                  <c:v>2548</c:v>
                </c:pt>
                <c:pt idx="3">
                  <c:v>8779</c:v>
                </c:pt>
                <c:pt idx="4">
                  <c:v>5236</c:v>
                </c:pt>
                <c:pt idx="5">
                  <c:v>7258</c:v>
                </c:pt>
                <c:pt idx="6">
                  <c:v>8039</c:v>
                </c:pt>
                <c:pt idx="7">
                  <c:v>13983</c:v>
                </c:pt>
                <c:pt idx="8">
                  <c:v>20779</c:v>
                </c:pt>
                <c:pt idx="9">
                  <c:v>41371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181002304"/>
        <c:axId val="-181006656"/>
      </c:barChart>
      <c:catAx>
        <c:axId val="-1810023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="1">
                    <a:solidFill>
                      <a:sysClr val="windowText" lastClr="000000"/>
                    </a:solidFill>
                  </a:rPr>
                  <a:t>Fiscal Year</a:t>
                </a:r>
              </a:p>
            </c:rich>
          </c:tx>
          <c:layout>
            <c:manualLayout>
              <c:xMode val="edge"/>
              <c:yMode val="edge"/>
              <c:x val="0.52015726535887796"/>
              <c:y val="0.9286723294805120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81006656"/>
        <c:crosses val="autoZero"/>
        <c:auto val="1"/>
        <c:lblAlgn val="ctr"/>
        <c:lblOffset val="100"/>
        <c:noMultiLvlLbl val="0"/>
      </c:catAx>
      <c:valAx>
        <c:axId val="-181006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="1">
                    <a:solidFill>
                      <a:sysClr val="windowText" lastClr="000000"/>
                    </a:solidFill>
                  </a:rPr>
                  <a:t>Number </a:t>
                </a:r>
              </a:p>
            </c:rich>
          </c:tx>
          <c:layout>
            <c:manualLayout>
              <c:xMode val="edge"/>
              <c:yMode val="edge"/>
              <c:x val="3.3999234192006499E-3"/>
              <c:y val="0.34661482375315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81002304"/>
        <c:crosses val="autoZero"/>
        <c:crossBetween val="between"/>
      </c:valAx>
      <c:spPr>
        <a:noFill/>
        <a:ln>
          <a:solidFill>
            <a:schemeClr val="bg1">
              <a:lumMod val="50000"/>
            </a:schemeClr>
          </a:solidFill>
        </a:ln>
        <a:effectLst/>
      </c:spPr>
    </c:plotArea>
    <c:legend>
      <c:legendPos val="b"/>
      <c:layout>
        <c:manualLayout>
          <c:xMode val="edge"/>
          <c:yMode val="edge"/>
          <c:x val="0.34775130045352498"/>
          <c:y val="0.167898975762826"/>
          <c:w val="0.43458209103110301"/>
          <c:h val="7.00697022117758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>
                <a:latin typeface="+mn-lt"/>
                <a:cs typeface="Arial" panose="020B0604020202020204" pitchFamily="34" charset="0"/>
              </a:defRPr>
            </a:pPr>
            <a:r>
              <a:rPr lang="en-US"/>
              <a:t>ASF Multi-Year Product Distribution Trend</a:t>
            </a:r>
          </a:p>
        </c:rich>
      </c:tx>
      <c:layout>
        <c:manualLayout>
          <c:xMode val="edge"/>
          <c:yMode val="edge"/>
          <c:x val="0.219374642226661"/>
          <c:y val="4.287412256015359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3107657173634"/>
          <c:y val="0.18225294239347301"/>
          <c:w val="0.85726272307204099"/>
          <c:h val="0.6552930766861140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Summary_data!$E$20</c:f>
              <c:strCache>
                <c:ptCount val="1"/>
                <c:pt idx="0">
                  <c:v>ASF</c:v>
                </c:pt>
              </c:strCache>
            </c:strRef>
          </c:tx>
          <c:invertIfNegative val="0"/>
          <c:cat>
            <c:strRef>
              <c:f>Summary_data!$C$21:$C$30</c:f>
              <c:strCache>
                <c:ptCount val="10"/>
                <c:pt idx="0">
                  <c:v>FY07</c:v>
                </c:pt>
                <c:pt idx="1">
                  <c:v>FY08</c:v>
                </c:pt>
                <c:pt idx="2">
                  <c:v>FY09</c:v>
                </c:pt>
                <c:pt idx="3">
                  <c:v>FY10</c:v>
                </c:pt>
                <c:pt idx="4">
                  <c:v>FY11</c:v>
                </c:pt>
                <c:pt idx="5">
                  <c:v>FY12</c:v>
                </c:pt>
                <c:pt idx="6">
                  <c:v>FY13</c:v>
                </c:pt>
                <c:pt idx="7">
                  <c:v>FY14</c:v>
                </c:pt>
                <c:pt idx="8">
                  <c:v>FY15</c:v>
                </c:pt>
                <c:pt idx="9">
                  <c:v>FY16</c:v>
                </c:pt>
              </c:strCache>
            </c:strRef>
          </c:cat>
          <c:val>
            <c:numRef>
              <c:f>Summary_data!$E$21:$E$30</c:f>
              <c:numCache>
                <c:formatCode>_(* #,##0.0_);_(* \(#,##0.0\);_(* "-"??_);_(@_)</c:formatCode>
                <c:ptCount val="10"/>
                <c:pt idx="0">
                  <c:v>0</c:v>
                </c:pt>
                <c:pt idx="1">
                  <c:v>0.30386999999999997</c:v>
                </c:pt>
                <c:pt idx="2">
                  <c:v>0.47285700000000003</c:v>
                </c:pt>
                <c:pt idx="3">
                  <c:v>0.101671</c:v>
                </c:pt>
                <c:pt idx="4">
                  <c:v>0.36860900000000002</c:v>
                </c:pt>
                <c:pt idx="5">
                  <c:v>0.846248</c:v>
                </c:pt>
                <c:pt idx="6">
                  <c:v>0.67360799999999998</c:v>
                </c:pt>
                <c:pt idx="7">
                  <c:v>1.1101460000000001</c:v>
                </c:pt>
                <c:pt idx="8">
                  <c:v>2.0008599999999999</c:v>
                </c:pt>
                <c:pt idx="9">
                  <c:v>5.1804249999999996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81014816"/>
        <c:axId val="-181003392"/>
      </c:barChart>
      <c:catAx>
        <c:axId val="-1810148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Fiscal Year</a:t>
                </a:r>
              </a:p>
            </c:rich>
          </c:tx>
          <c:layout>
            <c:manualLayout>
              <c:xMode val="edge"/>
              <c:yMode val="edge"/>
              <c:x val="0.51269424232162897"/>
              <c:y val="0.91856945601153805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 b="0" baseline="0">
                <a:latin typeface="+mn-lt"/>
                <a:cs typeface="Arial" panose="020B0604020202020204" pitchFamily="34" charset="0"/>
              </a:defRPr>
            </a:pPr>
            <a:endParaRPr lang="en-US"/>
          </a:p>
        </c:txPr>
        <c:crossAx val="-181003392"/>
        <c:crosses val="autoZero"/>
        <c:auto val="1"/>
        <c:lblAlgn val="ctr"/>
        <c:lblOffset val="100"/>
        <c:noMultiLvlLbl val="0"/>
      </c:catAx>
      <c:valAx>
        <c:axId val="-18100339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Product Distributed (Millions)</a:t>
                </a:r>
              </a:p>
            </c:rich>
          </c:tx>
          <c:layout>
            <c:manualLayout>
              <c:xMode val="edge"/>
              <c:yMode val="edge"/>
              <c:x val="1.6285028493567399E-2"/>
              <c:y val="0.17328868888728299"/>
            </c:manualLayout>
          </c:layout>
          <c:overlay val="0"/>
        </c:title>
        <c:numFmt formatCode="#,##0.0" sourceLinked="0"/>
        <c:majorTickMark val="out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1200">
                <a:latin typeface="+mn-lt"/>
                <a:cs typeface="Arial" panose="020B0604020202020204" pitchFamily="34" charset="0"/>
              </a:defRPr>
            </a:pPr>
            <a:endParaRPr lang="en-US"/>
          </a:p>
        </c:txPr>
        <c:crossAx val="-181014816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0000000000004" l="0.70000000000000095" r="0.70000000000000095" t="0.750000000000004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>
                <a:latin typeface="+mn-lt"/>
                <a:cs typeface="Arial" panose="020B0604020202020204" pitchFamily="34" charset="0"/>
              </a:defRPr>
            </a:pPr>
            <a:r>
              <a:rPr lang="en-US"/>
              <a:t>CDDIS Multi-Year Total Archive Volume Trend</a:t>
            </a:r>
          </a:p>
        </c:rich>
      </c:tx>
      <c:layout>
        <c:manualLayout>
          <c:xMode val="edge"/>
          <c:yMode val="edge"/>
          <c:x val="0.223544133657093"/>
          <c:y val="3.841216417989099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56188786714438"/>
          <c:y val="0.18228668594254499"/>
          <c:w val="0.80487043883359"/>
          <c:h val="0.6507674633483110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data!$D$156</c:f>
              <c:strCache>
                <c:ptCount val="1"/>
                <c:pt idx="0">
                  <c:v>CDDIS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invertIfNegative val="0"/>
          <c:cat>
            <c:strRef>
              <c:f>data!$A$157:$A$165</c:f>
              <c:strCache>
                <c:ptCount val="9"/>
                <c:pt idx="0">
                  <c:v>FY08</c:v>
                </c:pt>
                <c:pt idx="1">
                  <c:v>FY09</c:v>
                </c:pt>
                <c:pt idx="2">
                  <c:v>FY10</c:v>
                </c:pt>
                <c:pt idx="3">
                  <c:v>FY11</c:v>
                </c:pt>
                <c:pt idx="4">
                  <c:v>FY12</c:v>
                </c:pt>
                <c:pt idx="5">
                  <c:v>FY13</c:v>
                </c:pt>
                <c:pt idx="6">
                  <c:v>FY14</c:v>
                </c:pt>
                <c:pt idx="7">
                  <c:v>FY15</c:v>
                </c:pt>
                <c:pt idx="8">
                  <c:v>FY16</c:v>
                </c:pt>
              </c:strCache>
            </c:strRef>
          </c:cat>
          <c:val>
            <c:numRef>
              <c:f>data!$D$157:$D$165</c:f>
              <c:numCache>
                <c:formatCode>_(* #,##0.00_);_(* \(#,##0.00\);_(* "-"??_);_(@_)</c:formatCode>
                <c:ptCount val="9"/>
                <c:pt idx="3">
                  <c:v>6.03</c:v>
                </c:pt>
                <c:pt idx="4">
                  <c:v>6.74</c:v>
                </c:pt>
                <c:pt idx="5">
                  <c:v>7.9962792968749996</c:v>
                </c:pt>
                <c:pt idx="6">
                  <c:v>11.422000000000001</c:v>
                </c:pt>
                <c:pt idx="7">
                  <c:v>13.209765624999999</c:v>
                </c:pt>
                <c:pt idx="8">
                  <c:v>17.5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80996320"/>
        <c:axId val="-180995776"/>
      </c:barChart>
      <c:catAx>
        <c:axId val="-1809963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Fiscal Year</a:t>
                </a:r>
              </a:p>
            </c:rich>
          </c:tx>
          <c:layout>
            <c:manualLayout>
              <c:xMode val="edge"/>
              <c:yMode val="edge"/>
              <c:x val="0.49999567596515698"/>
              <c:y val="0.91411120752953801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 b="0" baseline="0">
                <a:latin typeface="+mn-lt"/>
                <a:cs typeface="Arial" panose="020B0604020202020204" pitchFamily="34" charset="0"/>
              </a:defRPr>
            </a:pPr>
            <a:endParaRPr lang="en-US"/>
          </a:p>
        </c:txPr>
        <c:crossAx val="-180995776"/>
        <c:crosses val="autoZero"/>
        <c:auto val="1"/>
        <c:lblAlgn val="ctr"/>
        <c:lblOffset val="100"/>
        <c:noMultiLvlLbl val="0"/>
      </c:catAx>
      <c:valAx>
        <c:axId val="-18099577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Volume (TB)</a:t>
                </a:r>
              </a:p>
            </c:rich>
          </c:tx>
          <c:layout>
            <c:manualLayout>
              <c:xMode val="edge"/>
              <c:yMode val="edge"/>
              <c:x val="1.62849872773537E-2"/>
              <c:y val="0.34790157257870402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1200">
                <a:latin typeface="+mn-lt"/>
                <a:cs typeface="Arial" panose="020B0604020202020204" pitchFamily="34" charset="0"/>
              </a:defRPr>
            </a:pPr>
            <a:endParaRPr lang="en-US"/>
          </a:p>
        </c:txPr>
        <c:crossAx val="-180996320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0000000000004" l="0.70000000000000095" r="0.70000000000000095" t="0.750000000000004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Relationship Id="rId4" Type="http://schemas.openxmlformats.org/officeDocument/2006/relationships/chart" Target="../charts/chart16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9.xml"/><Relationship Id="rId2" Type="http://schemas.openxmlformats.org/officeDocument/2006/relationships/chart" Target="../charts/chart18.xml"/><Relationship Id="rId1" Type="http://schemas.openxmlformats.org/officeDocument/2006/relationships/chart" Target="../charts/chart17.xml"/><Relationship Id="rId4" Type="http://schemas.openxmlformats.org/officeDocument/2006/relationships/chart" Target="../charts/chart20.xml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3.xml"/><Relationship Id="rId2" Type="http://schemas.openxmlformats.org/officeDocument/2006/relationships/chart" Target="../charts/chart22.xml"/><Relationship Id="rId1" Type="http://schemas.openxmlformats.org/officeDocument/2006/relationships/chart" Target="../charts/chart21.xml"/><Relationship Id="rId4" Type="http://schemas.openxmlformats.org/officeDocument/2006/relationships/chart" Target="../charts/chart24.xml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7.xml"/><Relationship Id="rId2" Type="http://schemas.openxmlformats.org/officeDocument/2006/relationships/chart" Target="../charts/chart26.xml"/><Relationship Id="rId1" Type="http://schemas.openxmlformats.org/officeDocument/2006/relationships/chart" Target="../charts/chart25.xml"/><Relationship Id="rId4" Type="http://schemas.openxmlformats.org/officeDocument/2006/relationships/chart" Target="../charts/chart28.xml"/></Relationships>
</file>

<file path=xl/drawings/_rels/drawing2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1.xml"/><Relationship Id="rId2" Type="http://schemas.openxmlformats.org/officeDocument/2006/relationships/chart" Target="../charts/chart30.xml"/><Relationship Id="rId1" Type="http://schemas.openxmlformats.org/officeDocument/2006/relationships/chart" Target="../charts/chart29.xml"/><Relationship Id="rId4" Type="http://schemas.openxmlformats.org/officeDocument/2006/relationships/chart" Target="../charts/chart32.xml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5.xml"/><Relationship Id="rId2" Type="http://schemas.openxmlformats.org/officeDocument/2006/relationships/chart" Target="../charts/chart34.xml"/><Relationship Id="rId1" Type="http://schemas.openxmlformats.org/officeDocument/2006/relationships/chart" Target="../charts/chart33.xml"/><Relationship Id="rId4" Type="http://schemas.openxmlformats.org/officeDocument/2006/relationships/chart" Target="../charts/chart36.xml"/></Relationships>
</file>

<file path=xl/drawings/_rels/drawing2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9.xml"/><Relationship Id="rId2" Type="http://schemas.openxmlformats.org/officeDocument/2006/relationships/chart" Target="../charts/chart38.xml"/><Relationship Id="rId1" Type="http://schemas.openxmlformats.org/officeDocument/2006/relationships/chart" Target="../charts/chart37.xml"/><Relationship Id="rId4" Type="http://schemas.openxmlformats.org/officeDocument/2006/relationships/chart" Target="../charts/chart40.xml"/></Relationships>
</file>

<file path=xl/drawings/_rels/drawing3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3.xml"/><Relationship Id="rId2" Type="http://schemas.openxmlformats.org/officeDocument/2006/relationships/chart" Target="../charts/chart42.xml"/><Relationship Id="rId1" Type="http://schemas.openxmlformats.org/officeDocument/2006/relationships/chart" Target="../charts/chart41.xml"/><Relationship Id="rId4" Type="http://schemas.openxmlformats.org/officeDocument/2006/relationships/chart" Target="../charts/chart44.xml"/></Relationships>
</file>

<file path=xl/drawings/_rels/drawing3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7.xml"/><Relationship Id="rId2" Type="http://schemas.openxmlformats.org/officeDocument/2006/relationships/chart" Target="../charts/chart46.xml"/><Relationship Id="rId1" Type="http://schemas.openxmlformats.org/officeDocument/2006/relationships/chart" Target="../charts/chart45.xml"/><Relationship Id="rId4" Type="http://schemas.openxmlformats.org/officeDocument/2006/relationships/chart" Target="../charts/chart48.xml"/></Relationships>
</file>

<file path=xl/drawings/_rels/drawing3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1.xml"/><Relationship Id="rId2" Type="http://schemas.openxmlformats.org/officeDocument/2006/relationships/chart" Target="../charts/chart50.xml"/><Relationship Id="rId1" Type="http://schemas.openxmlformats.org/officeDocument/2006/relationships/chart" Target="../charts/chart49.xml"/><Relationship Id="rId4" Type="http://schemas.openxmlformats.org/officeDocument/2006/relationships/chart" Target="../charts/chart52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chart" Target="../charts/chart8.xml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3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4" Type="http://schemas.openxmlformats.org/officeDocument/2006/relationships/chart" Target="../charts/chart1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476248</xdr:colOff>
      <xdr:row>13</xdr:row>
      <xdr:rowOff>21693</xdr:rowOff>
    </xdr:from>
    <xdr:to>
      <xdr:col>3</xdr:col>
      <xdr:colOff>1301749</xdr:colOff>
      <xdr:row>22</xdr:row>
      <xdr:rowOff>10583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10584</xdr:colOff>
      <xdr:row>23</xdr:row>
      <xdr:rowOff>10582</xdr:rowOff>
    </xdr:from>
    <xdr:to>
      <xdr:col>11</xdr:col>
      <xdr:colOff>21167</xdr:colOff>
      <xdr:row>32</xdr:row>
      <xdr:rowOff>10584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21168</xdr:colOff>
      <xdr:row>23</xdr:row>
      <xdr:rowOff>0</xdr:rowOff>
    </xdr:from>
    <xdr:to>
      <xdr:col>4</xdr:col>
      <xdr:colOff>0</xdr:colOff>
      <xdr:row>32</xdr:row>
      <xdr:rowOff>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10583</xdr:colOff>
      <xdr:row>13</xdr:row>
      <xdr:rowOff>21165</xdr:rowOff>
    </xdr:from>
    <xdr:to>
      <xdr:col>11</xdr:col>
      <xdr:colOff>21167</xdr:colOff>
      <xdr:row>22</xdr:row>
      <xdr:rowOff>10582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65516</xdr:colOff>
      <xdr:row>12</xdr:row>
      <xdr:rowOff>171875</xdr:rowOff>
    </xdr:from>
    <xdr:to>
      <xdr:col>3</xdr:col>
      <xdr:colOff>1441350</xdr:colOff>
      <xdr:row>21</xdr:row>
      <xdr:rowOff>242408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214690</xdr:colOff>
      <xdr:row>21</xdr:row>
      <xdr:rowOff>309939</xdr:rowOff>
    </xdr:from>
    <xdr:to>
      <xdr:col>10</xdr:col>
      <xdr:colOff>1953380</xdr:colOff>
      <xdr:row>30</xdr:row>
      <xdr:rowOff>309940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21167</xdr:colOff>
      <xdr:row>22</xdr:row>
      <xdr:rowOff>0</xdr:rowOff>
    </xdr:from>
    <xdr:to>
      <xdr:col>4</xdr:col>
      <xdr:colOff>-1</xdr:colOff>
      <xdr:row>31</xdr:row>
      <xdr:rowOff>1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228297</xdr:colOff>
      <xdr:row>12</xdr:row>
      <xdr:rowOff>157236</xdr:rowOff>
    </xdr:from>
    <xdr:to>
      <xdr:col>11</xdr:col>
      <xdr:colOff>7560</xdr:colOff>
      <xdr:row>21</xdr:row>
      <xdr:rowOff>228296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0.07389</cdr:x>
      <cdr:y>0.01203</cdr:y>
    </cdr:from>
    <cdr:to>
      <cdr:x>0.95742</cdr:x>
      <cdr:y>0.13151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38119" y="33882"/>
          <a:ext cx="5239084" cy="33653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 b="1" i="0" baseline="0">
              <a:effectLst/>
              <a:latin typeface="+mn-lt"/>
              <a:ea typeface="+mn-ea"/>
              <a:cs typeface="+mn-cs"/>
            </a:rPr>
            <a:t>GESDISC Yearly Percentage of Web Users  Downloading Data</a:t>
          </a:r>
          <a:endParaRPr lang="en-US" sz="1600"/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0.23853</cdr:x>
      <cdr:y>0.01378</cdr:y>
    </cdr:from>
    <cdr:to>
      <cdr:x>0.9039</cdr:x>
      <cdr:y>0.11168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451568" y="39365"/>
          <a:ext cx="4049052" cy="2797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 b="1" i="0" baseline="0">
              <a:effectLst/>
              <a:latin typeface="+mn-lt"/>
              <a:ea typeface="+mn-ea"/>
              <a:cs typeface="+mn-cs"/>
            </a:rPr>
            <a:t>GESDISC Multi-Year Trend for Web Accesses</a:t>
          </a:r>
          <a:endParaRPr lang="en-US" sz="1600">
            <a:effectLst/>
          </a:endParaRPr>
        </a:p>
        <a:p xmlns:a="http://schemas.openxmlformats.org/drawingml/2006/main">
          <a:endParaRPr lang="en-US" sz="1600"/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24694</xdr:colOff>
      <xdr:row>13</xdr:row>
      <xdr:rowOff>35804</xdr:rowOff>
    </xdr:from>
    <xdr:to>
      <xdr:col>3</xdr:col>
      <xdr:colOff>1400528</xdr:colOff>
      <xdr:row>22</xdr:row>
      <xdr:rowOff>24694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10584</xdr:colOff>
      <xdr:row>23</xdr:row>
      <xdr:rowOff>10582</xdr:rowOff>
    </xdr:from>
    <xdr:to>
      <xdr:col>11</xdr:col>
      <xdr:colOff>21167</xdr:colOff>
      <xdr:row>32</xdr:row>
      <xdr:rowOff>10584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21168</xdr:colOff>
      <xdr:row>23</xdr:row>
      <xdr:rowOff>0</xdr:rowOff>
    </xdr:from>
    <xdr:to>
      <xdr:col>4</xdr:col>
      <xdr:colOff>0</xdr:colOff>
      <xdr:row>32</xdr:row>
      <xdr:rowOff>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10583</xdr:colOff>
      <xdr:row>13</xdr:row>
      <xdr:rowOff>21165</xdr:rowOff>
    </xdr:from>
    <xdr:to>
      <xdr:col>11</xdr:col>
      <xdr:colOff>21167</xdr:colOff>
      <xdr:row>22</xdr:row>
      <xdr:rowOff>10582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0.12437</cdr:x>
      <cdr:y>0.01686</cdr:y>
    </cdr:from>
    <cdr:to>
      <cdr:x>0.95101</cdr:x>
      <cdr:y>0.11532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776617" y="50662"/>
          <a:ext cx="5161678" cy="29593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 b="1" i="0" baseline="0">
              <a:effectLst/>
              <a:latin typeface="+mn-lt"/>
              <a:ea typeface="+mn-ea"/>
              <a:cs typeface="+mn-cs"/>
            </a:rPr>
            <a:t>GHRC Yearly Percentage of Web Users  Downloading Data</a:t>
          </a:r>
          <a:endParaRPr lang="en-US" sz="1600"/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0.23853</cdr:x>
      <cdr:y>0.01378</cdr:y>
    </cdr:from>
    <cdr:to>
      <cdr:x>0.9039</cdr:x>
      <cdr:y>0.11168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451568" y="39365"/>
          <a:ext cx="4049052" cy="2797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 b="1" i="0" baseline="0">
              <a:effectLst/>
              <a:latin typeface="+mn-lt"/>
              <a:ea typeface="+mn-ea"/>
              <a:cs typeface="+mn-cs"/>
            </a:rPr>
            <a:t>GHRC Multi-Year Trend for Web Accesses</a:t>
          </a:r>
          <a:endParaRPr lang="en-US" sz="1600">
            <a:effectLst/>
          </a:endParaRPr>
        </a:p>
        <a:p xmlns:a="http://schemas.openxmlformats.org/drawingml/2006/main">
          <a:endParaRPr lang="en-US" sz="1600"/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24694</xdr:colOff>
      <xdr:row>13</xdr:row>
      <xdr:rowOff>35804</xdr:rowOff>
    </xdr:from>
    <xdr:to>
      <xdr:col>3</xdr:col>
      <xdr:colOff>1400528</xdr:colOff>
      <xdr:row>22</xdr:row>
      <xdr:rowOff>24694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160262</xdr:colOff>
      <xdr:row>22</xdr:row>
      <xdr:rowOff>296332</xdr:rowOff>
    </xdr:from>
    <xdr:to>
      <xdr:col>10</xdr:col>
      <xdr:colOff>1898953</xdr:colOff>
      <xdr:row>31</xdr:row>
      <xdr:rowOff>296333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21168</xdr:colOff>
      <xdr:row>23</xdr:row>
      <xdr:rowOff>0</xdr:rowOff>
    </xdr:from>
    <xdr:to>
      <xdr:col>4</xdr:col>
      <xdr:colOff>0</xdr:colOff>
      <xdr:row>32</xdr:row>
      <xdr:rowOff>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173868</xdr:colOff>
      <xdr:row>13</xdr:row>
      <xdr:rowOff>34772</xdr:rowOff>
    </xdr:from>
    <xdr:to>
      <xdr:col>10</xdr:col>
      <xdr:colOff>1912560</xdr:colOff>
      <xdr:row>22</xdr:row>
      <xdr:rowOff>24189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0.07159</cdr:x>
      <cdr:y>0.0072</cdr:y>
    </cdr:from>
    <cdr:to>
      <cdr:x>0.96201</cdr:x>
      <cdr:y>0.13151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24512" y="20275"/>
          <a:ext cx="5279905" cy="35014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 b="1" i="0" baseline="0">
              <a:effectLst/>
              <a:latin typeface="+mn-lt"/>
              <a:ea typeface="+mn-ea"/>
              <a:cs typeface="+mn-cs"/>
            </a:rPr>
            <a:t>LPDAAC Yearly Percentage of Web Users  Downloading Data</a:t>
          </a:r>
          <a:endParaRPr lang="en-US" sz="1600"/>
        </a:p>
      </cdr:txBody>
    </cdr:sp>
  </cdr:relSizeAnchor>
</c:userShapes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0.23853</cdr:x>
      <cdr:y>0.01378</cdr:y>
    </cdr:from>
    <cdr:to>
      <cdr:x>0.9039</cdr:x>
      <cdr:y>0.11168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451568" y="39365"/>
          <a:ext cx="4049052" cy="2797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 b="1" i="0" baseline="0">
              <a:effectLst/>
              <a:latin typeface="+mn-lt"/>
              <a:ea typeface="+mn-ea"/>
              <a:cs typeface="+mn-cs"/>
            </a:rPr>
            <a:t>LPDAAC Multi-Year Trend for Web Accesses</a:t>
          </a:r>
          <a:endParaRPr lang="en-US" sz="1600">
            <a:effectLst/>
          </a:endParaRPr>
        </a:p>
        <a:p xmlns:a="http://schemas.openxmlformats.org/drawingml/2006/main">
          <a:endParaRPr lang="en-US" sz="1600"/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24694</xdr:colOff>
      <xdr:row>13</xdr:row>
      <xdr:rowOff>35804</xdr:rowOff>
    </xdr:from>
    <xdr:to>
      <xdr:col>3</xdr:col>
      <xdr:colOff>1400528</xdr:colOff>
      <xdr:row>22</xdr:row>
      <xdr:rowOff>24694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160262</xdr:colOff>
      <xdr:row>22</xdr:row>
      <xdr:rowOff>269118</xdr:rowOff>
    </xdr:from>
    <xdr:to>
      <xdr:col>10</xdr:col>
      <xdr:colOff>1898953</xdr:colOff>
      <xdr:row>31</xdr:row>
      <xdr:rowOff>269119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21168</xdr:colOff>
      <xdr:row>22</xdr:row>
      <xdr:rowOff>258536</xdr:rowOff>
    </xdr:from>
    <xdr:to>
      <xdr:col>4</xdr:col>
      <xdr:colOff>0</xdr:colOff>
      <xdr:row>31</xdr:row>
      <xdr:rowOff>258535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173869</xdr:colOff>
      <xdr:row>13</xdr:row>
      <xdr:rowOff>21165</xdr:rowOff>
    </xdr:from>
    <xdr:to>
      <xdr:col>10</xdr:col>
      <xdr:colOff>1912561</xdr:colOff>
      <xdr:row>22</xdr:row>
      <xdr:rowOff>10582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0.12437</cdr:x>
      <cdr:y>0.01686</cdr:y>
    </cdr:from>
    <cdr:to>
      <cdr:x>0.95101</cdr:x>
      <cdr:y>0.11532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776617" y="50662"/>
          <a:ext cx="5161678" cy="29593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 b="1" i="0" baseline="0">
              <a:effectLst/>
              <a:latin typeface="+mn-lt"/>
              <a:ea typeface="+mn-ea"/>
              <a:cs typeface="+mn-cs"/>
            </a:rPr>
            <a:t>ASDC Yearly Percentage of Web Users  Downloading Data</a:t>
          </a:r>
          <a:endParaRPr lang="en-US" sz="1600"/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0.05094</cdr:x>
      <cdr:y>0.01203</cdr:y>
    </cdr:from>
    <cdr:to>
      <cdr:x>0.9666</cdr:x>
      <cdr:y>0.12185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02047" y="33882"/>
          <a:ext cx="5429584" cy="3093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 b="1" i="0" baseline="0">
              <a:effectLst/>
              <a:latin typeface="+mn-lt"/>
              <a:ea typeface="+mn-ea"/>
              <a:cs typeface="+mn-cs"/>
            </a:rPr>
            <a:t>MODAPS Yearly Percentage of Web Users  Downloading Data</a:t>
          </a:r>
          <a:endParaRPr lang="en-US" sz="1600"/>
        </a:p>
      </cdr:txBody>
    </cdr:sp>
  </cdr:relSizeAnchor>
</c:userShapes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0.23853</cdr:x>
      <cdr:y>0.01378</cdr:y>
    </cdr:from>
    <cdr:to>
      <cdr:x>0.9039</cdr:x>
      <cdr:y>0.11168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451568" y="39365"/>
          <a:ext cx="4049052" cy="2797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 b="1" i="0" baseline="0">
              <a:effectLst/>
              <a:latin typeface="+mn-lt"/>
              <a:ea typeface="+mn-ea"/>
              <a:cs typeface="+mn-cs"/>
            </a:rPr>
            <a:t>MODAPS Multi-Year Trend for Web Accesses</a:t>
          </a:r>
          <a:endParaRPr lang="en-US" sz="1600">
            <a:effectLst/>
          </a:endParaRPr>
        </a:p>
        <a:p xmlns:a="http://schemas.openxmlformats.org/drawingml/2006/main">
          <a:endParaRPr lang="en-US" sz="1600"/>
        </a:p>
      </cdr:txBody>
    </cdr:sp>
  </cdr:relSizeAnchor>
</c:userShapes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24694</xdr:colOff>
      <xdr:row>13</xdr:row>
      <xdr:rowOff>35804</xdr:rowOff>
    </xdr:from>
    <xdr:to>
      <xdr:col>3</xdr:col>
      <xdr:colOff>1400528</xdr:colOff>
      <xdr:row>22</xdr:row>
      <xdr:rowOff>24694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173870</xdr:colOff>
      <xdr:row>22</xdr:row>
      <xdr:rowOff>241904</xdr:rowOff>
    </xdr:from>
    <xdr:to>
      <xdr:col>10</xdr:col>
      <xdr:colOff>1912561</xdr:colOff>
      <xdr:row>31</xdr:row>
      <xdr:rowOff>241905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7561</xdr:colOff>
      <xdr:row>22</xdr:row>
      <xdr:rowOff>244929</xdr:rowOff>
    </xdr:from>
    <xdr:to>
      <xdr:col>3</xdr:col>
      <xdr:colOff>1238250</xdr:colOff>
      <xdr:row>31</xdr:row>
      <xdr:rowOff>244928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146654</xdr:colOff>
      <xdr:row>13</xdr:row>
      <xdr:rowOff>34773</xdr:rowOff>
    </xdr:from>
    <xdr:to>
      <xdr:col>10</xdr:col>
      <xdr:colOff>1885346</xdr:colOff>
      <xdr:row>22</xdr:row>
      <xdr:rowOff>24190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0.09454</cdr:x>
      <cdr:y>0.01686</cdr:y>
    </cdr:from>
    <cdr:to>
      <cdr:x>0.94595</cdr:x>
      <cdr:y>0.12185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60583" y="47489"/>
          <a:ext cx="5048583" cy="29571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 b="1" i="0" baseline="0">
              <a:effectLst/>
              <a:latin typeface="+mn-lt"/>
              <a:ea typeface="+mn-ea"/>
              <a:cs typeface="+mn-cs"/>
            </a:rPr>
            <a:t>NSIDC Yearly Percentage of Web Users  Downloading Data</a:t>
          </a:r>
          <a:endParaRPr lang="en-US" sz="1600"/>
        </a:p>
      </cdr:txBody>
    </cdr:sp>
  </cdr:relSizeAnchor>
</c:userShapes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0.23853</cdr:x>
      <cdr:y>0.01378</cdr:y>
    </cdr:from>
    <cdr:to>
      <cdr:x>0.9039</cdr:x>
      <cdr:y>0.11168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451568" y="39365"/>
          <a:ext cx="4049052" cy="2797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 b="1" i="0" baseline="0">
              <a:effectLst/>
              <a:latin typeface="+mn-lt"/>
              <a:ea typeface="+mn-ea"/>
              <a:cs typeface="+mn-cs"/>
            </a:rPr>
            <a:t>NSIDC Multi-Year Trend for Web Accesses</a:t>
          </a:r>
          <a:endParaRPr lang="en-US" sz="1600">
            <a:effectLst/>
          </a:endParaRPr>
        </a:p>
        <a:p xmlns:a="http://schemas.openxmlformats.org/drawingml/2006/main">
          <a:endParaRPr lang="en-US" sz="1600"/>
        </a:p>
      </cdr:txBody>
    </cdr:sp>
  </cdr:relSizeAnchor>
</c:userShapes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24694</xdr:colOff>
      <xdr:row>13</xdr:row>
      <xdr:rowOff>35804</xdr:rowOff>
    </xdr:from>
    <xdr:to>
      <xdr:col>3</xdr:col>
      <xdr:colOff>1400528</xdr:colOff>
      <xdr:row>22</xdr:row>
      <xdr:rowOff>24694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10584</xdr:colOff>
      <xdr:row>23</xdr:row>
      <xdr:rowOff>10582</xdr:rowOff>
    </xdr:from>
    <xdr:to>
      <xdr:col>11</xdr:col>
      <xdr:colOff>21167</xdr:colOff>
      <xdr:row>32</xdr:row>
      <xdr:rowOff>10584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21168</xdr:colOff>
      <xdr:row>23</xdr:row>
      <xdr:rowOff>0</xdr:rowOff>
    </xdr:from>
    <xdr:to>
      <xdr:col>4</xdr:col>
      <xdr:colOff>0</xdr:colOff>
      <xdr:row>32</xdr:row>
      <xdr:rowOff>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10583</xdr:colOff>
      <xdr:row>13</xdr:row>
      <xdr:rowOff>21165</xdr:rowOff>
    </xdr:from>
    <xdr:to>
      <xdr:col>11</xdr:col>
      <xdr:colOff>21167</xdr:colOff>
      <xdr:row>22</xdr:row>
      <xdr:rowOff>10582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169334</xdr:colOff>
      <xdr:row>10</xdr:row>
      <xdr:rowOff>74084</xdr:rowOff>
    </xdr:from>
    <xdr:to>
      <xdr:col>9</xdr:col>
      <xdr:colOff>784215</xdr:colOff>
      <xdr:row>11</xdr:row>
      <xdr:rowOff>173379</xdr:rowOff>
    </xdr:to>
    <xdr:sp macro="" textlink="">
      <xdr:nvSpPr>
        <xdr:cNvPr id="6" name="TextBox 1"/>
        <xdr:cNvSpPr txBox="1"/>
      </xdr:nvSpPr>
      <xdr:spPr>
        <a:xfrm>
          <a:off x="8964084" y="2910417"/>
          <a:ext cx="1577964" cy="332129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sz="1400" b="1"/>
            <a:t>Data Not Available</a:t>
          </a:r>
        </a:p>
      </xdr:txBody>
    </xdr:sp>
    <xdr:clientData/>
  </xdr:twoCellAnchor>
</xdr:wsDr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0.44156</cdr:x>
      <cdr:y>0.36544</cdr:y>
    </cdr:from>
    <cdr:to>
      <cdr:x>0.7015</cdr:x>
      <cdr:y>0.48212</cdr:y>
    </cdr:to>
    <cdr:sp macro="" textlink="">
      <cdr:nvSpPr>
        <cdr:cNvPr id="3" name="TextBox 2"/>
        <cdr:cNvSpPr txBox="1"/>
      </cdr:nvSpPr>
      <cdr:spPr>
        <a:xfrm xmlns:a="http://schemas.openxmlformats.org/drawingml/2006/main" rot="19720269">
          <a:off x="2680533" y="1040177"/>
          <a:ext cx="1577964" cy="33212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400" b="1"/>
            <a:t>Data Not Available</a:t>
          </a:r>
        </a:p>
      </cdr:txBody>
    </cdr:sp>
  </cdr:relSizeAnchor>
</c:userShapes>
</file>

<file path=xl/drawings/drawing27.xml><?xml version="1.0" encoding="utf-8"?>
<c:userShapes xmlns:c="http://schemas.openxmlformats.org/drawingml/2006/chart">
  <cdr:relSizeAnchor xmlns:cdr="http://schemas.openxmlformats.org/drawingml/2006/chartDrawing">
    <cdr:from>
      <cdr:x>0.05553</cdr:x>
      <cdr:y>0.0072</cdr:y>
    </cdr:from>
    <cdr:to>
      <cdr:x>0.95971</cdr:x>
      <cdr:y>0.11702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29262" y="20275"/>
          <a:ext cx="5361547" cy="30932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 b="1" i="0" baseline="0">
              <a:effectLst/>
              <a:latin typeface="+mn-lt"/>
              <a:ea typeface="+mn-ea"/>
              <a:cs typeface="+mn-cs"/>
            </a:rPr>
            <a:t>OB.DAAC Yearly Percentage of Web Users  Downloading Data</a:t>
          </a:r>
          <a:endParaRPr lang="en-US" sz="1600"/>
        </a:p>
      </cdr:txBody>
    </cdr:sp>
  </cdr:relSizeAnchor>
  <cdr:relSizeAnchor xmlns:cdr="http://schemas.openxmlformats.org/drawingml/2006/chartDrawing">
    <cdr:from>
      <cdr:x>0.43076</cdr:x>
      <cdr:y>0.42129</cdr:y>
    </cdr:from>
    <cdr:to>
      <cdr:x>0.7111</cdr:x>
      <cdr:y>0.53752</cdr:y>
    </cdr:to>
    <cdr:sp macro="" textlink="">
      <cdr:nvSpPr>
        <cdr:cNvPr id="4" name="TextBox 1"/>
        <cdr:cNvSpPr txBox="1"/>
      </cdr:nvSpPr>
      <cdr:spPr>
        <a:xfrm xmlns:a="http://schemas.openxmlformats.org/drawingml/2006/main" rot="19720269">
          <a:off x="2552960" y="1203833"/>
          <a:ext cx="1661500" cy="33212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b="1"/>
            <a:t>Data Not Available</a:t>
          </a:r>
        </a:p>
      </cdr:txBody>
    </cdr:sp>
  </cdr:relSizeAnchor>
</c:userShapes>
</file>

<file path=xl/drawings/drawing28.xml><?xml version="1.0" encoding="utf-8"?>
<c:userShapes xmlns:c="http://schemas.openxmlformats.org/drawingml/2006/chart">
  <cdr:relSizeAnchor xmlns:cdr="http://schemas.openxmlformats.org/drawingml/2006/chartDrawing">
    <cdr:from>
      <cdr:x>0.23853</cdr:x>
      <cdr:y>0.01378</cdr:y>
    </cdr:from>
    <cdr:to>
      <cdr:x>0.9039</cdr:x>
      <cdr:y>0.11168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451568" y="39365"/>
          <a:ext cx="4049052" cy="2797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 b="1" i="0" baseline="0">
              <a:effectLst/>
              <a:latin typeface="+mn-lt"/>
              <a:ea typeface="+mn-ea"/>
              <a:cs typeface="+mn-cs"/>
            </a:rPr>
            <a:t>OB.DAAC Multi-Year Trend for Web Accesses</a:t>
          </a:r>
          <a:endParaRPr lang="en-US" sz="1600">
            <a:effectLst/>
          </a:endParaRPr>
        </a:p>
        <a:p xmlns:a="http://schemas.openxmlformats.org/drawingml/2006/main">
          <a:endParaRPr lang="en-US" sz="1600"/>
        </a:p>
      </cdr:txBody>
    </cdr:sp>
  </cdr:relSizeAnchor>
  <cdr:relSizeAnchor xmlns:cdr="http://schemas.openxmlformats.org/drawingml/2006/chartDrawing">
    <cdr:from>
      <cdr:x>0.37986</cdr:x>
      <cdr:y>0.44104</cdr:y>
    </cdr:from>
    <cdr:to>
      <cdr:x>0.65783</cdr:x>
      <cdr:y>0.55727</cdr:y>
    </cdr:to>
    <cdr:sp macro="" textlink="">
      <cdr:nvSpPr>
        <cdr:cNvPr id="5" name="TextBox 1"/>
        <cdr:cNvSpPr txBox="1"/>
      </cdr:nvSpPr>
      <cdr:spPr>
        <a:xfrm xmlns:a="http://schemas.openxmlformats.org/drawingml/2006/main" rot="19720269">
          <a:off x="2307567" y="1260283"/>
          <a:ext cx="1688620" cy="33212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b="1"/>
            <a:t>Data Not Available</a:t>
          </a:r>
        </a:p>
      </cdr:txBody>
    </cdr:sp>
  </cdr:relSizeAnchor>
</c:userShapes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24694</xdr:colOff>
      <xdr:row>13</xdr:row>
      <xdr:rowOff>35804</xdr:rowOff>
    </xdr:from>
    <xdr:to>
      <xdr:col>3</xdr:col>
      <xdr:colOff>1400528</xdr:colOff>
      <xdr:row>22</xdr:row>
      <xdr:rowOff>24694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173869</xdr:colOff>
      <xdr:row>22</xdr:row>
      <xdr:rowOff>214690</xdr:rowOff>
    </xdr:from>
    <xdr:to>
      <xdr:col>10</xdr:col>
      <xdr:colOff>1912560</xdr:colOff>
      <xdr:row>31</xdr:row>
      <xdr:rowOff>214691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21168</xdr:colOff>
      <xdr:row>22</xdr:row>
      <xdr:rowOff>204107</xdr:rowOff>
    </xdr:from>
    <xdr:to>
      <xdr:col>4</xdr:col>
      <xdr:colOff>0</xdr:colOff>
      <xdr:row>31</xdr:row>
      <xdr:rowOff>204106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187476</xdr:colOff>
      <xdr:row>12</xdr:row>
      <xdr:rowOff>211666</xdr:rowOff>
    </xdr:from>
    <xdr:to>
      <xdr:col>10</xdr:col>
      <xdr:colOff>1926168</xdr:colOff>
      <xdr:row>21</xdr:row>
      <xdr:rowOff>282725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0.23853</cdr:x>
      <cdr:y>0.01378</cdr:y>
    </cdr:from>
    <cdr:to>
      <cdr:x>0.9039</cdr:x>
      <cdr:y>0.11168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451568" y="39365"/>
          <a:ext cx="4049052" cy="2797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 b="1" i="0" baseline="0">
              <a:effectLst/>
              <a:latin typeface="+mn-lt"/>
              <a:ea typeface="+mn-ea"/>
              <a:cs typeface="+mn-cs"/>
            </a:rPr>
            <a:t>ASDC Multi-Year Trend for Web Accesses</a:t>
          </a:r>
          <a:endParaRPr lang="en-US" sz="1600">
            <a:effectLst/>
          </a:endParaRPr>
        </a:p>
        <a:p xmlns:a="http://schemas.openxmlformats.org/drawingml/2006/main">
          <a:endParaRPr lang="en-US" sz="1600"/>
        </a:p>
      </cdr:txBody>
    </cdr:sp>
  </cdr:relSizeAnchor>
</c:userShapes>
</file>

<file path=xl/drawings/drawing30.xml><?xml version="1.0" encoding="utf-8"?>
<c:userShapes xmlns:c="http://schemas.openxmlformats.org/drawingml/2006/chart">
  <cdr:relSizeAnchor xmlns:cdr="http://schemas.openxmlformats.org/drawingml/2006/chartDrawing">
    <cdr:from>
      <cdr:x>0.12437</cdr:x>
      <cdr:y>0.01686</cdr:y>
    </cdr:from>
    <cdr:to>
      <cdr:x>0.95101</cdr:x>
      <cdr:y>0.11532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776617" y="50662"/>
          <a:ext cx="5161678" cy="29593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 b="1" i="0" baseline="0">
              <a:effectLst/>
              <a:latin typeface="+mn-lt"/>
              <a:ea typeface="+mn-ea"/>
              <a:cs typeface="+mn-cs"/>
            </a:rPr>
            <a:t>ORNL Yearly Percentage of Web Users  Downloading Data</a:t>
          </a:r>
          <a:endParaRPr lang="en-US" sz="1600"/>
        </a:p>
      </cdr:txBody>
    </cdr:sp>
  </cdr:relSizeAnchor>
</c:userShapes>
</file>

<file path=xl/drawings/drawing31.xml><?xml version="1.0" encoding="utf-8"?>
<c:userShapes xmlns:c="http://schemas.openxmlformats.org/drawingml/2006/chart">
  <cdr:relSizeAnchor xmlns:cdr="http://schemas.openxmlformats.org/drawingml/2006/chartDrawing">
    <cdr:from>
      <cdr:x>0.23853</cdr:x>
      <cdr:y>0.01378</cdr:y>
    </cdr:from>
    <cdr:to>
      <cdr:x>0.9039</cdr:x>
      <cdr:y>0.11168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451568" y="39365"/>
          <a:ext cx="4049052" cy="2797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 b="1" i="0" baseline="0">
              <a:effectLst/>
              <a:latin typeface="+mn-lt"/>
              <a:ea typeface="+mn-ea"/>
              <a:cs typeface="+mn-cs"/>
            </a:rPr>
            <a:t>ORNL Multi-Year Trend for Web Accesses</a:t>
          </a:r>
          <a:endParaRPr lang="en-US" sz="1600">
            <a:effectLst/>
          </a:endParaRPr>
        </a:p>
        <a:p xmlns:a="http://schemas.openxmlformats.org/drawingml/2006/main">
          <a:endParaRPr lang="en-US" sz="1600"/>
        </a:p>
      </cdr:txBody>
    </cdr:sp>
  </cdr:relSizeAnchor>
</c:userShapes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24694</xdr:colOff>
      <xdr:row>13</xdr:row>
      <xdr:rowOff>35804</xdr:rowOff>
    </xdr:from>
    <xdr:to>
      <xdr:col>3</xdr:col>
      <xdr:colOff>1400528</xdr:colOff>
      <xdr:row>22</xdr:row>
      <xdr:rowOff>24694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160262</xdr:colOff>
      <xdr:row>22</xdr:row>
      <xdr:rowOff>255511</xdr:rowOff>
    </xdr:from>
    <xdr:to>
      <xdr:col>10</xdr:col>
      <xdr:colOff>1898953</xdr:colOff>
      <xdr:row>31</xdr:row>
      <xdr:rowOff>255512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442989</xdr:colOff>
      <xdr:row>22</xdr:row>
      <xdr:rowOff>272143</xdr:rowOff>
    </xdr:from>
    <xdr:to>
      <xdr:col>3</xdr:col>
      <xdr:colOff>1197428</xdr:colOff>
      <xdr:row>31</xdr:row>
      <xdr:rowOff>272142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173868</xdr:colOff>
      <xdr:row>13</xdr:row>
      <xdr:rowOff>21165</xdr:rowOff>
    </xdr:from>
    <xdr:to>
      <xdr:col>10</xdr:col>
      <xdr:colOff>1912560</xdr:colOff>
      <xdr:row>22</xdr:row>
      <xdr:rowOff>10582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3.xml><?xml version="1.0" encoding="utf-8"?>
<c:userShapes xmlns:c="http://schemas.openxmlformats.org/drawingml/2006/chart">
  <cdr:relSizeAnchor xmlns:cdr="http://schemas.openxmlformats.org/drawingml/2006/chartDrawing">
    <cdr:from>
      <cdr:x>0.05094</cdr:x>
      <cdr:y>0.0072</cdr:y>
    </cdr:from>
    <cdr:to>
      <cdr:x>0.97348</cdr:x>
      <cdr:y>0.14117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02047" y="20274"/>
          <a:ext cx="5470405" cy="37735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 b="1" i="0" baseline="0">
              <a:effectLst/>
              <a:latin typeface="+mn-lt"/>
              <a:ea typeface="+mn-ea"/>
              <a:cs typeface="+mn-cs"/>
            </a:rPr>
            <a:t>PO.DAAC Yearly Percentage of Web Users  Downloading Data</a:t>
          </a:r>
          <a:endParaRPr lang="en-US" sz="1600"/>
        </a:p>
      </cdr:txBody>
    </cdr:sp>
  </cdr:relSizeAnchor>
</c:userShapes>
</file>

<file path=xl/drawings/drawing34.xml><?xml version="1.0" encoding="utf-8"?>
<c:userShapes xmlns:c="http://schemas.openxmlformats.org/drawingml/2006/chart">
  <cdr:relSizeAnchor xmlns:cdr="http://schemas.openxmlformats.org/drawingml/2006/chartDrawing">
    <cdr:from>
      <cdr:x>0.23853</cdr:x>
      <cdr:y>0.01378</cdr:y>
    </cdr:from>
    <cdr:to>
      <cdr:x>0.9039</cdr:x>
      <cdr:y>0.11168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451568" y="39365"/>
          <a:ext cx="4049052" cy="2797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 b="1" i="0" baseline="0">
              <a:effectLst/>
              <a:latin typeface="+mn-lt"/>
              <a:ea typeface="+mn-ea"/>
              <a:cs typeface="+mn-cs"/>
            </a:rPr>
            <a:t>PO.DAAC Multi-Year Trend for Web Accesses</a:t>
          </a:r>
          <a:endParaRPr lang="en-US" sz="1600">
            <a:effectLst/>
          </a:endParaRPr>
        </a:p>
        <a:p xmlns:a="http://schemas.openxmlformats.org/drawingml/2006/main">
          <a:endParaRPr lang="en-US" sz="1600"/>
        </a:p>
      </cdr:txBody>
    </cdr:sp>
  </cdr:relSizeAnchor>
</c:userShapes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24694</xdr:colOff>
      <xdr:row>13</xdr:row>
      <xdr:rowOff>35804</xdr:rowOff>
    </xdr:from>
    <xdr:to>
      <xdr:col>3</xdr:col>
      <xdr:colOff>1400528</xdr:colOff>
      <xdr:row>22</xdr:row>
      <xdr:rowOff>24694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173869</xdr:colOff>
      <xdr:row>22</xdr:row>
      <xdr:rowOff>269118</xdr:rowOff>
    </xdr:from>
    <xdr:to>
      <xdr:col>10</xdr:col>
      <xdr:colOff>1912560</xdr:colOff>
      <xdr:row>31</xdr:row>
      <xdr:rowOff>269119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21168</xdr:colOff>
      <xdr:row>22</xdr:row>
      <xdr:rowOff>258536</xdr:rowOff>
    </xdr:from>
    <xdr:to>
      <xdr:col>4</xdr:col>
      <xdr:colOff>0</xdr:colOff>
      <xdr:row>31</xdr:row>
      <xdr:rowOff>258535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160261</xdr:colOff>
      <xdr:row>12</xdr:row>
      <xdr:rowOff>225272</xdr:rowOff>
    </xdr:from>
    <xdr:to>
      <xdr:col>10</xdr:col>
      <xdr:colOff>1898953</xdr:colOff>
      <xdr:row>21</xdr:row>
      <xdr:rowOff>296331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6.xml><?xml version="1.0" encoding="utf-8"?>
<c:userShapes xmlns:c="http://schemas.openxmlformats.org/drawingml/2006/chart">
  <cdr:relSizeAnchor xmlns:cdr="http://schemas.openxmlformats.org/drawingml/2006/chartDrawing">
    <cdr:from>
      <cdr:x>0.08536</cdr:x>
      <cdr:y>0.0072</cdr:y>
    </cdr:from>
    <cdr:to>
      <cdr:x>0.94365</cdr:x>
      <cdr:y>0.10252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06154" y="20276"/>
          <a:ext cx="5089405" cy="268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 b="1" i="0" baseline="0">
              <a:effectLst/>
              <a:latin typeface="+mn-lt"/>
              <a:ea typeface="+mn-ea"/>
              <a:cs typeface="+mn-cs"/>
            </a:rPr>
            <a:t>SEDAC Yearly Percentage of Web Users  Downloading Data</a:t>
          </a:r>
          <a:endParaRPr lang="en-US" sz="1600"/>
        </a:p>
      </cdr:txBody>
    </cdr:sp>
  </cdr:relSizeAnchor>
</c:userShapes>
</file>

<file path=xl/drawings/drawing37.xml><?xml version="1.0" encoding="utf-8"?>
<c:userShapes xmlns:c="http://schemas.openxmlformats.org/drawingml/2006/chart">
  <cdr:relSizeAnchor xmlns:cdr="http://schemas.openxmlformats.org/drawingml/2006/chartDrawing">
    <cdr:from>
      <cdr:x>0.23853</cdr:x>
      <cdr:y>0.01378</cdr:y>
    </cdr:from>
    <cdr:to>
      <cdr:x>0.9039</cdr:x>
      <cdr:y>0.11168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451568" y="39365"/>
          <a:ext cx="4049052" cy="2797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 b="1" i="0" baseline="0">
              <a:effectLst/>
              <a:latin typeface="+mn-lt"/>
              <a:ea typeface="+mn-ea"/>
              <a:cs typeface="+mn-cs"/>
            </a:rPr>
            <a:t>SEDAC Multi-Year Trend for Web Accesses</a:t>
          </a:r>
          <a:endParaRPr lang="en-US" sz="1600">
            <a:effectLst/>
          </a:endParaRPr>
        </a:p>
        <a:p xmlns:a="http://schemas.openxmlformats.org/drawingml/2006/main">
          <a:endParaRPr lang="en-US" sz="1600"/>
        </a:p>
      </cdr:txBody>
    </cdr:sp>
  </cdr:relSizeAnchor>
</c:userShapes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460826</xdr:colOff>
      <xdr:row>14</xdr:row>
      <xdr:rowOff>161393</xdr:rowOff>
    </xdr:from>
    <xdr:to>
      <xdr:col>3</xdr:col>
      <xdr:colOff>1214209</xdr:colOff>
      <xdr:row>23</xdr:row>
      <xdr:rowOff>148467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144477</xdr:colOff>
      <xdr:row>24</xdr:row>
      <xdr:rowOff>8314</xdr:rowOff>
    </xdr:from>
    <xdr:to>
      <xdr:col>10</xdr:col>
      <xdr:colOff>1901825</xdr:colOff>
      <xdr:row>33</xdr:row>
      <xdr:rowOff>176440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467935</xdr:colOff>
      <xdr:row>24</xdr:row>
      <xdr:rowOff>26579</xdr:rowOff>
    </xdr:from>
    <xdr:to>
      <xdr:col>3</xdr:col>
      <xdr:colOff>1228724</xdr:colOff>
      <xdr:row>33</xdr:row>
      <xdr:rowOff>193674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192465</xdr:colOff>
      <xdr:row>14</xdr:row>
      <xdr:rowOff>158596</xdr:rowOff>
    </xdr:from>
    <xdr:to>
      <xdr:col>10</xdr:col>
      <xdr:colOff>1941588</xdr:colOff>
      <xdr:row>23</xdr:row>
      <xdr:rowOff>132137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9.xml><?xml version="1.0" encoding="utf-8"?>
<c:userShapes xmlns:c="http://schemas.openxmlformats.org/drawingml/2006/chart">
  <cdr:relSizeAnchor xmlns:cdr="http://schemas.openxmlformats.org/drawingml/2006/chartDrawing">
    <cdr:from>
      <cdr:x>0.19172</cdr:x>
      <cdr:y>0.01686</cdr:y>
    </cdr:from>
    <cdr:to>
      <cdr:x>0.86792</cdr:x>
      <cdr:y>0.14117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136830" y="47488"/>
          <a:ext cx="4009694" cy="35014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rtl="0"/>
          <a:r>
            <a:rPr lang="en-US" sz="1600" b="1" i="0" baseline="0">
              <a:effectLst/>
              <a:latin typeface="+mn-lt"/>
              <a:ea typeface="+mn-ea"/>
              <a:cs typeface="+mn-cs"/>
            </a:rPr>
            <a:t>LANCE Multi-Year Volume Distribution Trend</a:t>
          </a:r>
          <a:endParaRPr lang="en-US" sz="1600">
            <a:effectLst/>
          </a:endParaRP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476248</xdr:colOff>
      <xdr:row>13</xdr:row>
      <xdr:rowOff>21693</xdr:rowOff>
    </xdr:from>
    <xdr:to>
      <xdr:col>3</xdr:col>
      <xdr:colOff>1301749</xdr:colOff>
      <xdr:row>22</xdr:row>
      <xdr:rowOff>10583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10584</xdr:colOff>
      <xdr:row>23</xdr:row>
      <xdr:rowOff>10582</xdr:rowOff>
    </xdr:from>
    <xdr:to>
      <xdr:col>11</xdr:col>
      <xdr:colOff>21167</xdr:colOff>
      <xdr:row>32</xdr:row>
      <xdr:rowOff>10584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21168</xdr:colOff>
      <xdr:row>23</xdr:row>
      <xdr:rowOff>0</xdr:rowOff>
    </xdr:from>
    <xdr:to>
      <xdr:col>4</xdr:col>
      <xdr:colOff>0</xdr:colOff>
      <xdr:row>32</xdr:row>
      <xdr:rowOff>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10583</xdr:colOff>
      <xdr:row>13</xdr:row>
      <xdr:rowOff>21165</xdr:rowOff>
    </xdr:from>
    <xdr:to>
      <xdr:col>11</xdr:col>
      <xdr:colOff>21167</xdr:colOff>
      <xdr:row>22</xdr:row>
      <xdr:rowOff>10582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0.xml><?xml version="1.0" encoding="utf-8"?>
<c:userShapes xmlns:c="http://schemas.openxmlformats.org/drawingml/2006/chart">
  <cdr:relSizeAnchor xmlns:cdr="http://schemas.openxmlformats.org/drawingml/2006/chartDrawing">
    <cdr:from>
      <cdr:x>0.23853</cdr:x>
      <cdr:y>0.01378</cdr:y>
    </cdr:from>
    <cdr:to>
      <cdr:x>0.9039</cdr:x>
      <cdr:y>0.11168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451568" y="39365"/>
          <a:ext cx="4049052" cy="2797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 b="1" i="0" baseline="0">
              <a:effectLst/>
              <a:latin typeface="+mn-lt"/>
              <a:ea typeface="+mn-ea"/>
              <a:cs typeface="+mn-cs"/>
            </a:rPr>
            <a:t>LANCE Multi-Year Trend for Web Accesses</a:t>
          </a:r>
          <a:endParaRPr lang="en-US" sz="1600">
            <a:effectLst/>
          </a:endParaRPr>
        </a:p>
        <a:p xmlns:a="http://schemas.openxmlformats.org/drawingml/2006/main">
          <a:endParaRPr lang="en-US" sz="1600"/>
        </a:p>
      </cdr:txBody>
    </cdr:sp>
  </cdr:relSizeAnchor>
</c:userShapes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523875</xdr:colOff>
      <xdr:row>162</xdr:row>
      <xdr:rowOff>152400</xdr:rowOff>
    </xdr:from>
    <xdr:to>
      <xdr:col>26</xdr:col>
      <xdr:colOff>257175</xdr:colOff>
      <xdr:row>180</xdr:row>
      <xdr:rowOff>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2.xml><?xml version="1.0" encoding="utf-8"?>
<c:userShapes xmlns:c="http://schemas.openxmlformats.org/drawingml/2006/chart">
  <cdr:relSizeAnchor xmlns:cdr="http://schemas.openxmlformats.org/drawingml/2006/chartDrawing">
    <cdr:from>
      <cdr:x>0.25811</cdr:x>
      <cdr:y>0.02457</cdr:y>
    </cdr:from>
    <cdr:to>
      <cdr:x>0.91757</cdr:x>
      <cdr:y>0.15243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819275" y="69858"/>
          <a:ext cx="4648217" cy="36353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rtl="0" eaLnBrk="1" fontAlgn="auto" latinLnBrk="0" hangingPunct="1"/>
          <a:r>
            <a:rPr lang="en-US" sz="1600" b="1" i="0" baseline="0">
              <a:effectLst/>
              <a:latin typeface="+mn-lt"/>
              <a:ea typeface="+mn-ea"/>
              <a:cs typeface="+mn-cs"/>
            </a:rPr>
            <a:t>Yearly Percentage of Web Users  Downloading Data</a:t>
          </a:r>
          <a:endParaRPr lang="en-US" sz="1600">
            <a:effectLst/>
          </a:endParaRPr>
        </a:p>
        <a:p xmlns:a="http://schemas.openxmlformats.org/drawingml/2006/main">
          <a:endParaRPr lang="en-US" sz="1100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0.12437</cdr:x>
      <cdr:y>0.01686</cdr:y>
    </cdr:from>
    <cdr:to>
      <cdr:x>0.95101</cdr:x>
      <cdr:y>0.11532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776617" y="50662"/>
          <a:ext cx="5161678" cy="29593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 b="1" i="0" baseline="0">
              <a:effectLst/>
              <a:latin typeface="+mn-lt"/>
              <a:ea typeface="+mn-ea"/>
              <a:cs typeface="+mn-cs"/>
            </a:rPr>
            <a:t>ASF Yearly Percentage of Web Users  Downloading Data</a:t>
          </a:r>
          <a:endParaRPr lang="en-US" sz="1600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0.23853</cdr:x>
      <cdr:y>0.01378</cdr:y>
    </cdr:from>
    <cdr:to>
      <cdr:x>0.9039</cdr:x>
      <cdr:y>0.11168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451568" y="39365"/>
          <a:ext cx="4049052" cy="2797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 b="1" i="0" baseline="0">
              <a:effectLst/>
              <a:latin typeface="+mn-lt"/>
              <a:ea typeface="+mn-ea"/>
              <a:cs typeface="+mn-cs"/>
            </a:rPr>
            <a:t>ASF Multi-Year Trend for Web Accesses</a:t>
          </a:r>
          <a:endParaRPr lang="en-US" sz="1600">
            <a:effectLst/>
          </a:endParaRPr>
        </a:p>
        <a:p xmlns:a="http://schemas.openxmlformats.org/drawingml/2006/main">
          <a:endParaRPr lang="en-US" sz="1600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476248</xdr:colOff>
      <xdr:row>13</xdr:row>
      <xdr:rowOff>21693</xdr:rowOff>
    </xdr:from>
    <xdr:to>
      <xdr:col>3</xdr:col>
      <xdr:colOff>1301749</xdr:colOff>
      <xdr:row>22</xdr:row>
      <xdr:rowOff>10583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10584</xdr:colOff>
      <xdr:row>23</xdr:row>
      <xdr:rowOff>10582</xdr:rowOff>
    </xdr:from>
    <xdr:to>
      <xdr:col>11</xdr:col>
      <xdr:colOff>21167</xdr:colOff>
      <xdr:row>32</xdr:row>
      <xdr:rowOff>10584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21168</xdr:colOff>
      <xdr:row>23</xdr:row>
      <xdr:rowOff>0</xdr:rowOff>
    </xdr:from>
    <xdr:to>
      <xdr:col>4</xdr:col>
      <xdr:colOff>0</xdr:colOff>
      <xdr:row>32</xdr:row>
      <xdr:rowOff>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10583</xdr:colOff>
      <xdr:row>13</xdr:row>
      <xdr:rowOff>21165</xdr:rowOff>
    </xdr:from>
    <xdr:to>
      <xdr:col>11</xdr:col>
      <xdr:colOff>21167</xdr:colOff>
      <xdr:row>22</xdr:row>
      <xdr:rowOff>10582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0.12437</cdr:x>
      <cdr:y>0.01686</cdr:y>
    </cdr:from>
    <cdr:to>
      <cdr:x>0.95101</cdr:x>
      <cdr:y>0.11532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776617" y="50662"/>
          <a:ext cx="5161678" cy="29593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 b="1" i="0" baseline="0">
              <a:effectLst/>
              <a:latin typeface="+mn-lt"/>
              <a:ea typeface="+mn-ea"/>
              <a:cs typeface="+mn-cs"/>
            </a:rPr>
            <a:t>CDDIS Yearly Percentage of Web Users  Downloading Data</a:t>
          </a:r>
          <a:endParaRPr lang="en-US" sz="1600"/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0.23853</cdr:x>
      <cdr:y>0.01378</cdr:y>
    </cdr:from>
    <cdr:to>
      <cdr:x>0.9039</cdr:x>
      <cdr:y>0.11168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451568" y="39365"/>
          <a:ext cx="4049052" cy="2797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 b="1" i="0" baseline="0">
              <a:effectLst/>
              <a:latin typeface="+mn-lt"/>
              <a:ea typeface="+mn-ea"/>
              <a:cs typeface="+mn-cs"/>
            </a:rPr>
            <a:t>CDDIS Multi-Year Trend for Web Accesses</a:t>
          </a:r>
          <a:endParaRPr lang="en-US" sz="1600">
            <a:effectLst/>
          </a:endParaRPr>
        </a:p>
        <a:p xmlns:a="http://schemas.openxmlformats.org/drawingml/2006/main">
          <a:endParaRPr lang="en-US" sz="1600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C7"/>
  <sheetViews>
    <sheetView tabSelected="1" zoomScale="70" zoomScaleNormal="70" workbookViewId="0">
      <selection activeCell="A18" sqref="A18"/>
    </sheetView>
  </sheetViews>
  <sheetFormatPr defaultColWidth="11.42578125" defaultRowHeight="12.75" x14ac:dyDescent="0.2"/>
  <cols>
    <col min="1" max="1" width="122.7109375" customWidth="1"/>
    <col min="2" max="2" width="8.140625" customWidth="1"/>
    <col min="3" max="3" width="0.140625" hidden="1" customWidth="1"/>
  </cols>
  <sheetData>
    <row r="1" spans="1:1" ht="259.5" x14ac:dyDescent="0.2">
      <c r="A1" s="94" t="s">
        <v>88</v>
      </c>
    </row>
    <row r="2" spans="1:1" x14ac:dyDescent="0.2">
      <c r="A2" s="91"/>
    </row>
    <row r="3" spans="1:1" s="92" customFormat="1" ht="168.75" customHeight="1" x14ac:dyDescent="0.2">
      <c r="A3" s="96" t="s">
        <v>93</v>
      </c>
    </row>
    <row r="4" spans="1:1" ht="27" customHeight="1" x14ac:dyDescent="0.2">
      <c r="A4" s="95" t="s">
        <v>84</v>
      </c>
    </row>
    <row r="7" spans="1:1" x14ac:dyDescent="0.2">
      <c r="A7" s="93"/>
    </row>
  </sheetData>
  <pageMargins left="0.75" right="0.75" top="1" bottom="1" header="0.5" footer="0.5"/>
  <pageSetup scale="75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K37"/>
  <sheetViews>
    <sheetView zoomScale="70" zoomScaleNormal="70" zoomScalePageLayoutView="90" workbookViewId="0">
      <selection activeCell="M25" sqref="M25"/>
    </sheetView>
  </sheetViews>
  <sheetFormatPr defaultColWidth="11.42578125" defaultRowHeight="12.75" x14ac:dyDescent="0.2"/>
  <cols>
    <col min="1" max="1" width="7.140625" customWidth="1"/>
    <col min="2" max="2" width="51.85546875" customWidth="1"/>
    <col min="3" max="3" width="20.7109375" customWidth="1"/>
    <col min="4" max="4" width="18.7109375" customWidth="1"/>
    <col min="5" max="5" width="3.42578125" customWidth="1"/>
    <col min="6" max="6" width="15.140625" customWidth="1"/>
    <col min="7" max="7" width="13" customWidth="1"/>
    <col min="8" max="8" width="1.7109375" customWidth="1"/>
    <col min="9" max="9" width="14.42578125" customWidth="1"/>
    <col min="10" max="10" width="15" customWidth="1"/>
    <col min="11" max="11" width="29.42578125" customWidth="1"/>
    <col min="12" max="12" width="19.85546875" customWidth="1"/>
    <col min="13" max="13" width="22.140625" customWidth="1"/>
  </cols>
  <sheetData>
    <row r="1" spans="1:11" ht="51.95" customHeight="1" thickBot="1" x14ac:dyDescent="0.25">
      <c r="A1" s="9"/>
      <c r="B1" s="188" t="s">
        <v>98</v>
      </c>
      <c r="C1" s="188"/>
      <c r="D1" s="188"/>
      <c r="E1" s="188"/>
      <c r="F1" s="188"/>
      <c r="G1" s="188"/>
      <c r="H1" s="188"/>
      <c r="I1" s="188"/>
      <c r="J1" s="188"/>
      <c r="K1" s="188"/>
    </row>
    <row r="2" spans="1:11" ht="24.95" customHeight="1" thickBot="1" x14ac:dyDescent="0.25">
      <c r="B2" s="205" t="str">
        <f>CONCATENATE("FY2016 Metrics ", Summary_data!S1)</f>
        <v>FY2016 Metrics (Oct 2015 to Sep 2016)</v>
      </c>
      <c r="C2" s="206"/>
      <c r="D2" s="207"/>
      <c r="F2" s="211" t="str">
        <f>CONCATENATE(data!$I$2, " Distribution and User Trends ", Summary_data!S1)</f>
        <v>NSIDC Distribution and User Trends (Oct 2015 to Sep 2016)</v>
      </c>
      <c r="G2" s="212"/>
      <c r="H2" s="212"/>
      <c r="I2" s="213"/>
      <c r="J2" s="213"/>
      <c r="K2" s="214"/>
    </row>
    <row r="3" spans="1:11" ht="18" customHeight="1" thickBot="1" x14ac:dyDescent="0.25">
      <c r="B3" s="71" t="s">
        <v>74</v>
      </c>
      <c r="C3" s="71" t="s">
        <v>73</v>
      </c>
      <c r="D3" s="71" t="str">
        <f>Summary_data!$C$11</f>
        <v>NSIDC</v>
      </c>
      <c r="F3" s="215" t="s">
        <v>74</v>
      </c>
      <c r="G3" s="72" t="s">
        <v>16</v>
      </c>
      <c r="H3" s="73"/>
      <c r="I3" s="74" t="s">
        <v>34</v>
      </c>
      <c r="J3" s="74" t="s">
        <v>41</v>
      </c>
      <c r="K3" s="75" t="s">
        <v>35</v>
      </c>
    </row>
    <row r="4" spans="1:11" ht="18" customHeight="1" thickBot="1" x14ac:dyDescent="0.25">
      <c r="B4" s="54" t="s">
        <v>0</v>
      </c>
      <c r="C4" s="98">
        <f>Summary_data!T13</f>
        <v>11140</v>
      </c>
      <c r="D4" s="100">
        <f>Summary_data!$D$11</f>
        <v>644</v>
      </c>
      <c r="F4" s="216"/>
      <c r="G4" s="76" t="s">
        <v>89</v>
      </c>
      <c r="H4" s="77"/>
      <c r="I4" s="78" t="s">
        <v>22</v>
      </c>
      <c r="J4" s="77" t="s">
        <v>36</v>
      </c>
      <c r="K4" s="79" t="s">
        <v>37</v>
      </c>
    </row>
    <row r="5" spans="1:11" ht="18" customHeight="1" thickBot="1" x14ac:dyDescent="0.25">
      <c r="B5" s="55" t="s">
        <v>1</v>
      </c>
      <c r="C5" s="98">
        <f>Summary_data!T14</f>
        <v>3210968</v>
      </c>
      <c r="D5" s="101">
        <f>Summary_data!G$11</f>
        <v>538959</v>
      </c>
      <c r="F5" s="219" t="s">
        <v>78</v>
      </c>
      <c r="G5" s="228">
        <f>data!$I$15</f>
        <v>82.185432000000006</v>
      </c>
      <c r="H5" s="209"/>
      <c r="I5" s="208">
        <f>(data!$I$15-data!$I$17)/data!$I$17</f>
        <v>0.16331912501875867</v>
      </c>
      <c r="J5" s="210">
        <f>data!$I$16</f>
        <v>6.8487860000000005</v>
      </c>
      <c r="K5" s="203"/>
    </row>
    <row r="6" spans="1:11" ht="18" customHeight="1" thickBot="1" x14ac:dyDescent="0.25">
      <c r="B6" s="55" t="s">
        <v>2</v>
      </c>
      <c r="C6" s="98">
        <f>Summary_data!T15</f>
        <v>2351536</v>
      </c>
      <c r="D6" s="101">
        <f>Summary_data!H$11</f>
        <v>766328</v>
      </c>
      <c r="F6" s="201"/>
      <c r="G6" s="229"/>
      <c r="H6" s="195"/>
      <c r="I6" s="197"/>
      <c r="J6" s="204"/>
      <c r="K6" s="189"/>
    </row>
    <row r="7" spans="1:11" ht="18" customHeight="1" thickBot="1" x14ac:dyDescent="0.25">
      <c r="B7" s="55" t="s">
        <v>3</v>
      </c>
      <c r="C7" s="99" t="str">
        <f>Summary_data!T16</f>
        <v>12,355.2 GB/day</v>
      </c>
      <c r="D7" s="99" t="str">
        <f>CONCATENATE(FIXED(1024*Summary_data!$K$11,1), " GB/day")</f>
        <v>304.3 GB/day</v>
      </c>
      <c r="F7" s="191" t="s">
        <v>72</v>
      </c>
      <c r="G7" s="230">
        <f>data!$I$67</f>
        <v>262.98465774811689</v>
      </c>
      <c r="H7" s="195"/>
      <c r="I7" s="197">
        <f>(data!$I$67-data!$I$69)/data!$I$69</f>
        <v>0.30454593064498287</v>
      </c>
      <c r="J7" s="204">
        <f>data!$I$68</f>
        <v>21.915388145676406</v>
      </c>
      <c r="K7" s="189"/>
    </row>
    <row r="8" spans="1:11" ht="18" customHeight="1" thickBot="1" x14ac:dyDescent="0.25">
      <c r="B8" s="55" t="s">
        <v>4</v>
      </c>
      <c r="C8" s="98" t="str">
        <f>Summary_data!T17</f>
        <v>17,923.2 TB</v>
      </c>
      <c r="D8" s="102" t="str">
        <f>CONCATENATE(FIXED(Summary_data!$L$11,1), " TB")</f>
        <v>277.4 TB</v>
      </c>
      <c r="F8" s="201"/>
      <c r="G8" s="231"/>
      <c r="H8" s="195"/>
      <c r="I8" s="197"/>
      <c r="J8" s="204"/>
      <c r="K8" s="189"/>
    </row>
    <row r="9" spans="1:11" ht="18" customHeight="1" thickBot="1" x14ac:dyDescent="0.25">
      <c r="B9" s="55" t="s">
        <v>5</v>
      </c>
      <c r="C9" s="98" t="str">
        <f>Summary_data!T18</f>
        <v>1,512.9 M</v>
      </c>
      <c r="D9" s="101" t="str">
        <f>CONCATENATE(FIXED(Summary_data!$O$11,1), " M")</f>
        <v>82.2 M</v>
      </c>
      <c r="F9" s="191" t="s">
        <v>68</v>
      </c>
      <c r="G9" s="193">
        <f>data!$I$120</f>
        <v>25389</v>
      </c>
      <c r="H9" s="195"/>
      <c r="I9" s="197">
        <f>(data!$I$120-data!$I$121)/data!$I$121</f>
        <v>-3.4051133769593671E-2</v>
      </c>
      <c r="J9" s="199">
        <f>data!$I$119</f>
        <v>2950.4166666666665</v>
      </c>
      <c r="K9" s="189"/>
    </row>
    <row r="10" spans="1:11" ht="18" customHeight="1" thickBot="1" x14ac:dyDescent="0.25">
      <c r="B10" s="56" t="s">
        <v>6</v>
      </c>
      <c r="C10" s="99" t="str">
        <f>Summary_data!T19</f>
        <v>40,987.6 GB/day</v>
      </c>
      <c r="D10" s="101" t="str">
        <f>CONCATENATE(FIXED(1024*Summary_data!$Q$11,1), " GB/day")</f>
        <v>735.8 GB/day</v>
      </c>
      <c r="F10" s="201"/>
      <c r="G10" s="226"/>
      <c r="H10" s="195"/>
      <c r="I10" s="197"/>
      <c r="J10" s="199"/>
      <c r="K10" s="189"/>
    </row>
    <row r="11" spans="1:11" ht="18" customHeight="1" x14ac:dyDescent="0.2">
      <c r="E11" s="5"/>
      <c r="F11" s="191" t="s">
        <v>77</v>
      </c>
      <c r="G11" s="193">
        <f>data!$I$196</f>
        <v>524620</v>
      </c>
      <c r="H11" s="195"/>
      <c r="I11" s="197">
        <f>(data!$I$196-data!$I$197)/data!$I$197</f>
        <v>3.6818909464613928E-2</v>
      </c>
      <c r="J11" s="199">
        <f>data!$I$195</f>
        <v>63860.666666666664</v>
      </c>
      <c r="K11" s="189"/>
    </row>
    <row r="12" spans="1:11" ht="18" customHeight="1" thickBot="1" x14ac:dyDescent="0.25">
      <c r="F12" s="192"/>
      <c r="G12" s="227"/>
      <c r="H12" s="196"/>
      <c r="I12" s="198"/>
      <c r="J12" s="200"/>
      <c r="K12" s="190"/>
    </row>
    <row r="13" spans="1:11" ht="18" customHeight="1" x14ac:dyDescent="0.2"/>
    <row r="14" spans="1:11" ht="24.95" customHeight="1" x14ac:dyDescent="0.2"/>
    <row r="15" spans="1:11" ht="24.95" customHeight="1" x14ac:dyDescent="0.2"/>
    <row r="16" spans="1:11" ht="24.95" customHeight="1" x14ac:dyDescent="0.2"/>
    <row r="17" ht="24.95" customHeight="1" x14ac:dyDescent="0.2"/>
    <row r="18" ht="24.95" customHeight="1" x14ac:dyDescent="0.2"/>
    <row r="19" ht="24.95" customHeight="1" x14ac:dyDescent="0.2"/>
    <row r="20" ht="24.95" customHeight="1" x14ac:dyDescent="0.2"/>
    <row r="21" ht="24.95" customHeight="1" x14ac:dyDescent="0.2"/>
    <row r="22" ht="24.95" customHeight="1" x14ac:dyDescent="0.2"/>
    <row r="23" ht="24.95" customHeight="1" x14ac:dyDescent="0.2"/>
    <row r="24" ht="24.95" customHeight="1" x14ac:dyDescent="0.2"/>
    <row r="25" ht="24.95" customHeight="1" x14ac:dyDescent="0.2"/>
    <row r="26" ht="24.95" customHeight="1" x14ac:dyDescent="0.2"/>
    <row r="27" ht="24.95" customHeight="1" x14ac:dyDescent="0.2"/>
    <row r="28" ht="24.95" customHeight="1" x14ac:dyDescent="0.2"/>
    <row r="29" ht="24.95" customHeight="1" x14ac:dyDescent="0.2"/>
    <row r="30" ht="24.95" customHeight="1" x14ac:dyDescent="0.2"/>
    <row r="31" ht="24.95" customHeight="1" x14ac:dyDescent="0.2"/>
    <row r="32" ht="24.95" customHeight="1" x14ac:dyDescent="0.2"/>
    <row r="33" ht="30" customHeight="1" x14ac:dyDescent="0.2"/>
    <row r="34" ht="30" customHeight="1" x14ac:dyDescent="0.2"/>
    <row r="35" ht="30" customHeight="1" x14ac:dyDescent="0.2"/>
    <row r="36" ht="30" customHeight="1" x14ac:dyDescent="0.2"/>
    <row r="37" ht="30" customHeight="1" x14ac:dyDescent="0.2"/>
  </sheetData>
  <dataConsolidate/>
  <mergeCells count="28">
    <mergeCell ref="J5:J6"/>
    <mergeCell ref="K5:K6"/>
    <mergeCell ref="F7:F8"/>
    <mergeCell ref="G7:G8"/>
    <mergeCell ref="H7:H8"/>
    <mergeCell ref="I7:I8"/>
    <mergeCell ref="J7:J8"/>
    <mergeCell ref="F3:F4"/>
    <mergeCell ref="F5:F6"/>
    <mergeCell ref="G5:G6"/>
    <mergeCell ref="H5:H6"/>
    <mergeCell ref="I5:I6"/>
    <mergeCell ref="B1:K1"/>
    <mergeCell ref="K11:K12"/>
    <mergeCell ref="F9:F10"/>
    <mergeCell ref="G9:G10"/>
    <mergeCell ref="H9:H10"/>
    <mergeCell ref="I9:I10"/>
    <mergeCell ref="J9:J10"/>
    <mergeCell ref="K9:K10"/>
    <mergeCell ref="F11:F12"/>
    <mergeCell ref="G11:G12"/>
    <mergeCell ref="H11:H12"/>
    <mergeCell ref="I11:I12"/>
    <mergeCell ref="J11:J12"/>
    <mergeCell ref="K7:K8"/>
    <mergeCell ref="B2:D2"/>
    <mergeCell ref="F2:K2"/>
  </mergeCells>
  <conditionalFormatting sqref="I5">
    <cfRule type="iconSet" priority="28">
      <iconSet iconSet="3Arrows">
        <cfvo type="percent" val="0"/>
        <cfvo type="percent" val="0.1"/>
        <cfvo type="percent" val="1"/>
      </iconSet>
    </cfRule>
    <cfRule type="iconSet" priority="31">
      <iconSet showValue="0">
        <cfvo type="percent" val="0"/>
        <cfvo type="num" val="0.9"/>
        <cfvo type="num" val="0.95"/>
      </iconSet>
    </cfRule>
  </conditionalFormatting>
  <conditionalFormatting sqref="I5">
    <cfRule type="iconSet" priority="30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32">
      <iconSet>
        <cfvo type="percent" val="0"/>
        <cfvo type="percent" val="33"/>
        <cfvo type="percent" val="67"/>
      </iconSet>
    </cfRule>
    <cfRule type="iconSet" priority="33">
      <iconSet iconSet="4Arrows">
        <cfvo type="percent" val="0"/>
        <cfvo type="percent" val="25"/>
        <cfvo type="percent" val="50"/>
        <cfvo type="percentile" val="75"/>
      </iconSet>
    </cfRule>
    <cfRule type="iconSet" priority="34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35">
      <iconSet iconSet="3Arrows">
        <cfvo type="percent" val="0"/>
        <cfvo type="percent" val="33"/>
        <cfvo type="percent" val="67"/>
      </iconSet>
    </cfRule>
  </conditionalFormatting>
  <conditionalFormatting sqref="I5">
    <cfRule type="iconSet" priority="29">
      <iconSet iconSet="5Arrows">
        <cfvo type="percent" val="0"/>
        <cfvo type="num" val="-0.2"/>
        <cfvo type="num" val="-0.05"/>
        <cfvo type="num" val="0.05"/>
        <cfvo type="num" val="0.2"/>
      </iconSet>
    </cfRule>
  </conditionalFormatting>
  <conditionalFormatting sqref="K7 K5">
    <cfRule type="dataBar" priority="2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{850A6733-3AB0-4346-9ABC-67A6745231DA}</x14:id>
        </ext>
      </extLst>
    </cfRule>
  </conditionalFormatting>
  <conditionalFormatting sqref="K9">
    <cfRule type="dataBar" priority="2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{4BFDCF8C-F2A6-4140-881B-4C3DED9BBEF1}</x14:id>
        </ext>
      </extLst>
    </cfRule>
  </conditionalFormatting>
  <conditionalFormatting sqref="K11">
    <cfRule type="dataBar" priority="2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{81937DFB-C95E-F149-AAA2-3CAD0E58AF94}</x14:id>
        </ext>
      </extLst>
    </cfRule>
  </conditionalFormatting>
  <conditionalFormatting sqref="I7">
    <cfRule type="iconSet" priority="17">
      <iconSet iconSet="3Arrows">
        <cfvo type="percent" val="0"/>
        <cfvo type="num" val="-0.01"/>
        <cfvo type="num" val="0.01"/>
      </iconSet>
    </cfRule>
    <cfRule type="iconSet" priority="20">
      <iconSet showValue="0">
        <cfvo type="percent" val="0"/>
        <cfvo type="num" val="0.9"/>
        <cfvo type="num" val="0.95"/>
      </iconSet>
    </cfRule>
  </conditionalFormatting>
  <conditionalFormatting sqref="I7">
    <cfRule type="iconSet" priority="19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21">
      <iconSet>
        <cfvo type="percent" val="0"/>
        <cfvo type="percent" val="33"/>
        <cfvo type="percent" val="67"/>
      </iconSet>
    </cfRule>
    <cfRule type="iconSet" priority="22">
      <iconSet iconSet="4Arrows">
        <cfvo type="percent" val="0"/>
        <cfvo type="percent" val="25"/>
        <cfvo type="percent" val="50"/>
        <cfvo type="percentile" val="75"/>
      </iconSet>
    </cfRule>
    <cfRule type="iconSet" priority="23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24">
      <iconSet iconSet="3Arrows">
        <cfvo type="percent" val="0"/>
        <cfvo type="percent" val="33"/>
        <cfvo type="percent" val="67"/>
      </iconSet>
    </cfRule>
  </conditionalFormatting>
  <conditionalFormatting sqref="I7">
    <cfRule type="iconSet" priority="18">
      <iconSet iconSet="5Arrows">
        <cfvo type="percent" val="0"/>
        <cfvo type="num" val="-0.2"/>
        <cfvo type="num" val="-0.05"/>
        <cfvo type="num" val="0.05"/>
        <cfvo type="num" val="0.2"/>
      </iconSet>
    </cfRule>
  </conditionalFormatting>
  <conditionalFormatting sqref="I9">
    <cfRule type="iconSet" priority="9">
      <iconSet iconSet="3Arrows">
        <cfvo type="percent" val="0"/>
        <cfvo type="num" val="0"/>
        <cfvo type="num" val="0.1"/>
      </iconSet>
    </cfRule>
    <cfRule type="iconSet" priority="12">
      <iconSet showValue="0">
        <cfvo type="percent" val="0"/>
        <cfvo type="num" val="0.9"/>
        <cfvo type="num" val="0.95"/>
      </iconSet>
    </cfRule>
  </conditionalFormatting>
  <conditionalFormatting sqref="I9">
    <cfRule type="iconSet" priority="11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13">
      <iconSet>
        <cfvo type="percent" val="0"/>
        <cfvo type="percent" val="33"/>
        <cfvo type="percent" val="67"/>
      </iconSet>
    </cfRule>
    <cfRule type="iconSet" priority="14">
      <iconSet iconSet="4Arrows">
        <cfvo type="percent" val="0"/>
        <cfvo type="percent" val="25"/>
        <cfvo type="percent" val="50"/>
        <cfvo type="percentile" val="75"/>
      </iconSet>
    </cfRule>
    <cfRule type="iconSet" priority="15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16">
      <iconSet iconSet="3Arrows">
        <cfvo type="percent" val="0"/>
        <cfvo type="percent" val="33"/>
        <cfvo type="percent" val="67"/>
      </iconSet>
    </cfRule>
  </conditionalFormatting>
  <conditionalFormatting sqref="I9">
    <cfRule type="iconSet" priority="10">
      <iconSet iconSet="5Arrows">
        <cfvo type="percent" val="0"/>
        <cfvo type="num" val="-0.2"/>
        <cfvo type="num" val="-0.05"/>
        <cfvo type="num" val="0.05"/>
        <cfvo type="num" val="0.2"/>
      </iconSet>
    </cfRule>
  </conditionalFormatting>
  <conditionalFormatting sqref="I11">
    <cfRule type="iconSet" priority="1">
      <iconSet iconSet="3Arrows">
        <cfvo type="percent" val="0"/>
        <cfvo type="num" val="-0.01"/>
        <cfvo type="num" val="0.01"/>
      </iconSet>
    </cfRule>
    <cfRule type="iconSet" priority="4">
      <iconSet showValue="0">
        <cfvo type="percent" val="0"/>
        <cfvo type="num" val="0.9"/>
        <cfvo type="num" val="0.95"/>
      </iconSet>
    </cfRule>
  </conditionalFormatting>
  <conditionalFormatting sqref="I11">
    <cfRule type="iconSet" priority="3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5">
      <iconSet>
        <cfvo type="percent" val="0"/>
        <cfvo type="percent" val="33"/>
        <cfvo type="percent" val="67"/>
      </iconSet>
    </cfRule>
    <cfRule type="iconSet" priority="6">
      <iconSet iconSet="4Arrows">
        <cfvo type="percent" val="0"/>
        <cfvo type="percent" val="25"/>
        <cfvo type="percent" val="50"/>
        <cfvo type="percentile" val="75"/>
      </iconSet>
    </cfRule>
    <cfRule type="iconSet" priority="7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8">
      <iconSet iconSet="3Arrows">
        <cfvo type="percent" val="0"/>
        <cfvo type="percent" val="33"/>
        <cfvo type="percent" val="67"/>
      </iconSet>
    </cfRule>
  </conditionalFormatting>
  <conditionalFormatting sqref="I11">
    <cfRule type="iconSet" priority="2">
      <iconSet iconSet="5Arrows">
        <cfvo type="percent" val="0"/>
        <cfvo type="num" val="-0.2"/>
        <cfvo type="num" val="-0.05"/>
        <cfvo type="num" val="0.05"/>
        <cfvo type="num" val="0.2"/>
      </iconSet>
    </cfRule>
  </conditionalFormatting>
  <pageMargins left="0.75" right="0.75" top="1" bottom="1" header="0.5" footer="0.5"/>
  <pageSetup scale="75" fitToHeight="0" orientation="landscape" r:id="rId1"/>
  <headerFooter alignWithMargins="0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50A6733-3AB0-4346-9ABC-67A6745231DA}">
            <x14:dataBar minLength="0" maxLength="100" negativeBarColorSameAsPositive="1" axisPosition="none">
              <x14:cfvo type="min"/>
              <x14:cfvo type="max"/>
            </x14:dataBar>
          </x14:cfRule>
          <xm:sqref>K7 K5</xm:sqref>
        </x14:conditionalFormatting>
        <x14:conditionalFormatting xmlns:xm="http://schemas.microsoft.com/office/excel/2006/main">
          <x14:cfRule type="dataBar" id="{4BFDCF8C-F2A6-4140-881B-4C3DED9BBEF1}">
            <x14:dataBar minLength="0" maxLength="100" negativeBarColorSameAsPositive="1" axisPosition="none">
              <x14:cfvo type="min"/>
              <x14:cfvo type="max"/>
            </x14:dataBar>
          </x14:cfRule>
          <xm:sqref>K9</xm:sqref>
        </x14:conditionalFormatting>
        <x14:conditionalFormatting xmlns:xm="http://schemas.microsoft.com/office/excel/2006/main">
          <x14:cfRule type="dataBar" id="{81937DFB-C95E-F149-AAA2-3CAD0E58AF94}">
            <x14:dataBar minLength="0" maxLength="100" negativeBarColorSameAsPositive="1" axisPosition="none">
              <x14:cfvo type="min"/>
              <x14:cfvo type="max"/>
            </x14:dataBar>
          </x14:cfRule>
          <xm:sqref>K11</xm:sqref>
        </x14:conditionalFormatting>
      </x14:conditionalFormattings>
    </ext>
    <ext xmlns:x14="http://schemas.microsoft.com/office/spreadsheetml/2009/9/main" uri="{05C60535-1F16-4fd2-B633-F4F36F0B64E0}">
      <x14:sparklineGroups xmlns:xm="http://schemas.microsoft.com/office/excel/2006/main">
        <x14:sparklineGroup displayEmptyCellsAs="gap" high="1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data!I55:I66</xm:f>
              <xm:sqref>K7</xm:sqref>
            </x14:sparkline>
          </x14:sparklines>
        </x14:sparklineGroup>
        <x14:sparklineGroup displayEmptyCellsAs="gap" high="1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data!I3:I14</xm:f>
              <xm:sqref>K5</xm:sqref>
            </x14:sparkline>
          </x14:sparklines>
        </x14:sparklineGroup>
        <x14:sparklineGroup displayEmptyCellsAs="gap" high="1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data!I106:I117</xm:f>
              <xm:sqref>K9</xm:sqref>
            </x14:sparkline>
          </x14:sparklines>
        </x14:sparklineGroup>
        <x14:sparklineGroup displayEmptyCellsAs="gap" high="1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data!I182:I193</xm:f>
              <xm:sqref>K11</xm:sqref>
            </x14:sparkline>
          </x14:sparklines>
        </x14:sparklineGroup>
      </x14:sparklineGroups>
    </ex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K37"/>
  <sheetViews>
    <sheetView zoomScale="70" zoomScaleNormal="70" zoomScalePageLayoutView="90" workbookViewId="0">
      <selection activeCell="M25" sqref="M25"/>
    </sheetView>
  </sheetViews>
  <sheetFormatPr defaultColWidth="11.42578125" defaultRowHeight="12.75" x14ac:dyDescent="0.2"/>
  <cols>
    <col min="1" max="1" width="7.140625" customWidth="1"/>
    <col min="2" max="2" width="51.85546875" customWidth="1"/>
    <col min="3" max="3" width="20.7109375" customWidth="1"/>
    <col min="4" max="4" width="18.7109375" customWidth="1"/>
    <col min="5" max="5" width="3.42578125" customWidth="1"/>
    <col min="6" max="6" width="15.140625" customWidth="1"/>
    <col min="7" max="7" width="13" customWidth="1"/>
    <col min="8" max="8" width="1.7109375" customWidth="1"/>
    <col min="9" max="9" width="14.42578125" customWidth="1"/>
    <col min="10" max="10" width="15" customWidth="1"/>
    <col min="11" max="11" width="29.42578125" customWidth="1"/>
    <col min="12" max="12" width="19.85546875" customWidth="1"/>
    <col min="13" max="13" width="22.140625" customWidth="1"/>
  </cols>
  <sheetData>
    <row r="1" spans="1:11" ht="51.95" customHeight="1" thickBot="1" x14ac:dyDescent="0.25">
      <c r="A1" s="9"/>
      <c r="B1" s="188" t="s">
        <v>99</v>
      </c>
      <c r="C1" s="188"/>
      <c r="D1" s="188"/>
      <c r="E1" s="188"/>
      <c r="F1" s="188"/>
      <c r="G1" s="188"/>
      <c r="H1" s="188"/>
      <c r="I1" s="188"/>
      <c r="J1" s="188"/>
      <c r="K1" s="188"/>
    </row>
    <row r="2" spans="1:11" ht="24.95" customHeight="1" thickBot="1" x14ac:dyDescent="0.25">
      <c r="B2" s="205" t="str">
        <f>CONCATENATE("FY2016 Metrics ", Summary_data!S1)</f>
        <v>FY2016 Metrics (Oct 2015 to Sep 2016)</v>
      </c>
      <c r="C2" s="206"/>
      <c r="D2" s="207"/>
      <c r="F2" s="211" t="str">
        <f>CONCATENATE(data!$J$2, " Distribution and User Trends ", Summary_data!S1)</f>
        <v>OB.DAAC Distribution and User Trends (Oct 2015 to Sep 2016)</v>
      </c>
      <c r="G2" s="212"/>
      <c r="H2" s="212"/>
      <c r="I2" s="213"/>
      <c r="J2" s="213"/>
      <c r="K2" s="214"/>
    </row>
    <row r="3" spans="1:11" ht="18" customHeight="1" thickBot="1" x14ac:dyDescent="0.25">
      <c r="B3" s="71" t="s">
        <v>74</v>
      </c>
      <c r="C3" s="71" t="s">
        <v>73</v>
      </c>
      <c r="D3" s="71" t="str">
        <f>Summary_data!$C$12</f>
        <v>OB.DAAC</v>
      </c>
      <c r="F3" s="215" t="s">
        <v>74</v>
      </c>
      <c r="G3" s="72" t="s">
        <v>16</v>
      </c>
      <c r="H3" s="73"/>
      <c r="I3" s="74" t="s">
        <v>34</v>
      </c>
      <c r="J3" s="74" t="s">
        <v>41</v>
      </c>
      <c r="K3" s="75" t="s">
        <v>35</v>
      </c>
    </row>
    <row r="4" spans="1:11" ht="18" customHeight="1" thickBot="1" x14ac:dyDescent="0.25">
      <c r="B4" s="54" t="s">
        <v>0</v>
      </c>
      <c r="C4" s="98">
        <f>Summary_data!T13</f>
        <v>11140</v>
      </c>
      <c r="D4" s="100">
        <f>Summary_data!$D$12</f>
        <v>172</v>
      </c>
      <c r="F4" s="216"/>
      <c r="G4" s="76" t="s">
        <v>89</v>
      </c>
      <c r="H4" s="77"/>
      <c r="I4" s="78" t="s">
        <v>22</v>
      </c>
      <c r="J4" s="77" t="s">
        <v>36</v>
      </c>
      <c r="K4" s="79" t="s">
        <v>37</v>
      </c>
    </row>
    <row r="5" spans="1:11" ht="18" customHeight="1" thickBot="1" x14ac:dyDescent="0.25">
      <c r="B5" s="55" t="s">
        <v>1</v>
      </c>
      <c r="C5" s="98">
        <f>Summary_data!T14</f>
        <v>3210968</v>
      </c>
      <c r="D5" s="101">
        <f>Summary_data!G$12</f>
        <v>37578</v>
      </c>
      <c r="F5" s="219" t="s">
        <v>78</v>
      </c>
      <c r="G5" s="228">
        <f>data!$J$15</f>
        <v>65.432243</v>
      </c>
      <c r="H5" s="209"/>
      <c r="I5" s="208">
        <f>(data!$J$15-data!$J$17)/data!$J$17</f>
        <v>0.14881044870053323</v>
      </c>
      <c r="J5" s="210">
        <f>data!$J$16</f>
        <v>5.4526869166666669</v>
      </c>
      <c r="K5" s="203"/>
    </row>
    <row r="6" spans="1:11" ht="18" customHeight="1" thickBot="1" x14ac:dyDescent="0.25">
      <c r="B6" s="55" t="s">
        <v>2</v>
      </c>
      <c r="C6" s="98">
        <f>Summary_data!T15</f>
        <v>2351536</v>
      </c>
      <c r="D6" s="101" t="s">
        <v>79</v>
      </c>
      <c r="F6" s="201"/>
      <c r="G6" s="229"/>
      <c r="H6" s="195"/>
      <c r="I6" s="197"/>
      <c r="J6" s="204"/>
      <c r="K6" s="189"/>
    </row>
    <row r="7" spans="1:11" ht="18" customHeight="1" thickBot="1" x14ac:dyDescent="0.25">
      <c r="B7" s="55" t="s">
        <v>3</v>
      </c>
      <c r="C7" s="101" t="str">
        <f>Summary_data!T16</f>
        <v>12,355.2 GB/day</v>
      </c>
      <c r="D7" s="101" t="s">
        <v>79</v>
      </c>
      <c r="F7" s="191" t="s">
        <v>72</v>
      </c>
      <c r="G7" s="230">
        <f>data!$J$67</f>
        <v>1479.5026629857307</v>
      </c>
      <c r="H7" s="195"/>
      <c r="I7" s="197">
        <f>(data!$J$67-data!$J$69)/data!$J$69</f>
        <v>0.24220349763234572</v>
      </c>
      <c r="J7" s="204">
        <f>data!$J$68</f>
        <v>123.29188858214422</v>
      </c>
      <c r="K7" s="189"/>
    </row>
    <row r="8" spans="1:11" ht="18" customHeight="1" thickBot="1" x14ac:dyDescent="0.25">
      <c r="B8" s="55" t="s">
        <v>4</v>
      </c>
      <c r="C8" s="98" t="str">
        <f>Summary_data!T17</f>
        <v>17,923.2 TB</v>
      </c>
      <c r="D8" s="101" t="s">
        <v>79</v>
      </c>
      <c r="F8" s="201"/>
      <c r="G8" s="231"/>
      <c r="H8" s="195"/>
      <c r="I8" s="197"/>
      <c r="J8" s="204"/>
      <c r="K8" s="189"/>
    </row>
    <row r="9" spans="1:11" ht="18" customHeight="1" thickBot="1" x14ac:dyDescent="0.25">
      <c r="B9" s="55" t="s">
        <v>5</v>
      </c>
      <c r="C9" s="98" t="str">
        <f>Summary_data!T18</f>
        <v>1,512.9 M</v>
      </c>
      <c r="D9" s="101" t="str">
        <f>CONCATENATE(FIXED(Summary_data!$O$12,1), " M")</f>
        <v>65.4 M</v>
      </c>
      <c r="F9" s="191" t="s">
        <v>68</v>
      </c>
      <c r="G9" s="193">
        <f>data!$J$120</f>
        <v>37578</v>
      </c>
      <c r="H9" s="195"/>
      <c r="I9" s="197">
        <f>(data!$J$120-data!$J$121)/data!$J$121</f>
        <v>-2.9568990005939624E-2</v>
      </c>
      <c r="J9" s="199">
        <f>data!$J$119</f>
        <v>4324.5</v>
      </c>
      <c r="K9" s="189"/>
    </row>
    <row r="10" spans="1:11" ht="18" customHeight="1" thickBot="1" x14ac:dyDescent="0.25">
      <c r="B10" s="56" t="s">
        <v>6</v>
      </c>
      <c r="C10" s="101" t="str">
        <f>Summary_data!T19</f>
        <v>40,987.6 GB/day</v>
      </c>
      <c r="D10" s="101" t="str">
        <f>CONCATENATE(FIXED(1024*Summary_data!$Q$12,1), " GB/day")</f>
        <v>4,139.4 GB/day</v>
      </c>
      <c r="F10" s="201"/>
      <c r="G10" s="226"/>
      <c r="H10" s="195"/>
      <c r="I10" s="197"/>
      <c r="J10" s="199"/>
      <c r="K10" s="189"/>
    </row>
    <row r="11" spans="1:11" ht="18" customHeight="1" x14ac:dyDescent="0.2">
      <c r="E11" s="5"/>
      <c r="F11" s="191" t="s">
        <v>77</v>
      </c>
      <c r="G11" s="234"/>
      <c r="H11" s="236"/>
      <c r="I11" s="197"/>
      <c r="J11" s="238"/>
      <c r="K11" s="232"/>
    </row>
    <row r="12" spans="1:11" ht="18" customHeight="1" thickBot="1" x14ac:dyDescent="0.25">
      <c r="F12" s="192"/>
      <c r="G12" s="235"/>
      <c r="H12" s="237"/>
      <c r="I12" s="198"/>
      <c r="J12" s="239"/>
      <c r="K12" s="233"/>
    </row>
    <row r="13" spans="1:11" ht="18" customHeight="1" x14ac:dyDescent="0.2"/>
    <row r="14" spans="1:11" ht="24.95" customHeight="1" x14ac:dyDescent="0.2"/>
    <row r="15" spans="1:11" ht="24.95" customHeight="1" x14ac:dyDescent="0.2"/>
    <row r="16" spans="1:11" ht="24.95" customHeight="1" x14ac:dyDescent="0.2"/>
    <row r="17" ht="24.95" customHeight="1" x14ac:dyDescent="0.2"/>
    <row r="18" ht="24.95" customHeight="1" x14ac:dyDescent="0.2"/>
    <row r="19" ht="24.95" customHeight="1" x14ac:dyDescent="0.2"/>
    <row r="20" ht="24.95" customHeight="1" x14ac:dyDescent="0.2"/>
    <row r="21" ht="24.95" customHeight="1" x14ac:dyDescent="0.2"/>
    <row r="22" ht="24.95" customHeight="1" x14ac:dyDescent="0.2"/>
    <row r="23" ht="24.95" customHeight="1" x14ac:dyDescent="0.2"/>
    <row r="24" ht="24.95" customHeight="1" x14ac:dyDescent="0.2"/>
    <row r="25" ht="24.95" customHeight="1" x14ac:dyDescent="0.2"/>
    <row r="26" ht="24.95" customHeight="1" x14ac:dyDescent="0.2"/>
    <row r="27" ht="24.95" customHeight="1" x14ac:dyDescent="0.2"/>
    <row r="28" ht="24.95" customHeight="1" x14ac:dyDescent="0.2"/>
    <row r="29" ht="24.95" customHeight="1" x14ac:dyDescent="0.2"/>
    <row r="30" ht="24.95" customHeight="1" x14ac:dyDescent="0.2"/>
    <row r="31" ht="24.95" customHeight="1" x14ac:dyDescent="0.2"/>
    <row r="32" ht="24.95" customHeight="1" x14ac:dyDescent="0.2"/>
    <row r="33" ht="30" customHeight="1" x14ac:dyDescent="0.2"/>
    <row r="34" ht="30" customHeight="1" x14ac:dyDescent="0.2"/>
    <row r="35" ht="30" customHeight="1" x14ac:dyDescent="0.2"/>
    <row r="36" ht="30" customHeight="1" x14ac:dyDescent="0.2"/>
    <row r="37" ht="30" customHeight="1" x14ac:dyDescent="0.2"/>
  </sheetData>
  <dataConsolidate/>
  <mergeCells count="28">
    <mergeCell ref="J5:J6"/>
    <mergeCell ref="K5:K6"/>
    <mergeCell ref="F7:F8"/>
    <mergeCell ref="G7:G8"/>
    <mergeCell ref="H7:H8"/>
    <mergeCell ref="I7:I8"/>
    <mergeCell ref="J7:J8"/>
    <mergeCell ref="F3:F4"/>
    <mergeCell ref="F5:F6"/>
    <mergeCell ref="G5:G6"/>
    <mergeCell ref="H5:H6"/>
    <mergeCell ref="I5:I6"/>
    <mergeCell ref="B1:K1"/>
    <mergeCell ref="K11:K12"/>
    <mergeCell ref="F9:F10"/>
    <mergeCell ref="G9:G10"/>
    <mergeCell ref="H9:H10"/>
    <mergeCell ref="I9:I10"/>
    <mergeCell ref="J9:J10"/>
    <mergeCell ref="K9:K10"/>
    <mergeCell ref="F11:F12"/>
    <mergeCell ref="G11:G12"/>
    <mergeCell ref="H11:H12"/>
    <mergeCell ref="I11:I12"/>
    <mergeCell ref="J11:J12"/>
    <mergeCell ref="K7:K8"/>
    <mergeCell ref="B2:D2"/>
    <mergeCell ref="F2:K2"/>
  </mergeCells>
  <conditionalFormatting sqref="I5">
    <cfRule type="iconSet" priority="28">
      <iconSet iconSet="3Arrows">
        <cfvo type="percent" val="0"/>
        <cfvo type="percent" val="0.1"/>
        <cfvo type="percent" val="1"/>
      </iconSet>
    </cfRule>
    <cfRule type="iconSet" priority="31">
      <iconSet showValue="0">
        <cfvo type="percent" val="0"/>
        <cfvo type="num" val="0.9"/>
        <cfvo type="num" val="0.95"/>
      </iconSet>
    </cfRule>
  </conditionalFormatting>
  <conditionalFormatting sqref="I5">
    <cfRule type="iconSet" priority="30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32">
      <iconSet>
        <cfvo type="percent" val="0"/>
        <cfvo type="percent" val="33"/>
        <cfvo type="percent" val="67"/>
      </iconSet>
    </cfRule>
    <cfRule type="iconSet" priority="33">
      <iconSet iconSet="4Arrows">
        <cfvo type="percent" val="0"/>
        <cfvo type="percent" val="25"/>
        <cfvo type="percent" val="50"/>
        <cfvo type="percentile" val="75"/>
      </iconSet>
    </cfRule>
    <cfRule type="iconSet" priority="34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35">
      <iconSet iconSet="3Arrows">
        <cfvo type="percent" val="0"/>
        <cfvo type="percent" val="33"/>
        <cfvo type="percent" val="67"/>
      </iconSet>
    </cfRule>
  </conditionalFormatting>
  <conditionalFormatting sqref="I5">
    <cfRule type="iconSet" priority="29">
      <iconSet iconSet="5Arrows">
        <cfvo type="percent" val="0"/>
        <cfvo type="num" val="-0.2"/>
        <cfvo type="num" val="-0.05"/>
        <cfvo type="num" val="0.05"/>
        <cfvo type="num" val="0.2"/>
      </iconSet>
    </cfRule>
  </conditionalFormatting>
  <conditionalFormatting sqref="K7 K5">
    <cfRule type="dataBar" priority="2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{DFB4E3C7-C8D6-1B4C-B5B0-9A86C4FA35E4}</x14:id>
        </ext>
      </extLst>
    </cfRule>
  </conditionalFormatting>
  <conditionalFormatting sqref="K9">
    <cfRule type="dataBar" priority="2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{9854F9D8-D821-9945-A413-6E3862CED3F9}</x14:id>
        </ext>
      </extLst>
    </cfRule>
  </conditionalFormatting>
  <conditionalFormatting sqref="K11">
    <cfRule type="dataBar" priority="2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{EE4481CB-9800-7B40-9A49-26DB090C9FF4}</x14:id>
        </ext>
      </extLst>
    </cfRule>
  </conditionalFormatting>
  <conditionalFormatting sqref="I7">
    <cfRule type="iconSet" priority="17">
      <iconSet iconSet="3Arrows">
        <cfvo type="percent" val="0"/>
        <cfvo type="num" val="-0.01"/>
        <cfvo type="num" val="0.01"/>
      </iconSet>
    </cfRule>
    <cfRule type="iconSet" priority="20">
      <iconSet showValue="0">
        <cfvo type="percent" val="0"/>
        <cfvo type="num" val="0.9"/>
        <cfvo type="num" val="0.95"/>
      </iconSet>
    </cfRule>
  </conditionalFormatting>
  <conditionalFormatting sqref="I7">
    <cfRule type="iconSet" priority="19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21">
      <iconSet>
        <cfvo type="percent" val="0"/>
        <cfvo type="percent" val="33"/>
        <cfvo type="percent" val="67"/>
      </iconSet>
    </cfRule>
    <cfRule type="iconSet" priority="22">
      <iconSet iconSet="4Arrows">
        <cfvo type="percent" val="0"/>
        <cfvo type="percent" val="25"/>
        <cfvo type="percent" val="50"/>
        <cfvo type="percentile" val="75"/>
      </iconSet>
    </cfRule>
    <cfRule type="iconSet" priority="23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24">
      <iconSet iconSet="3Arrows">
        <cfvo type="percent" val="0"/>
        <cfvo type="percent" val="33"/>
        <cfvo type="percent" val="67"/>
      </iconSet>
    </cfRule>
  </conditionalFormatting>
  <conditionalFormatting sqref="I7">
    <cfRule type="iconSet" priority="18">
      <iconSet iconSet="5Arrows">
        <cfvo type="percent" val="0"/>
        <cfvo type="num" val="-0.2"/>
        <cfvo type="num" val="-0.05"/>
        <cfvo type="num" val="0.05"/>
        <cfvo type="num" val="0.2"/>
      </iconSet>
    </cfRule>
  </conditionalFormatting>
  <conditionalFormatting sqref="I9">
    <cfRule type="iconSet" priority="9">
      <iconSet iconSet="3Arrows">
        <cfvo type="percent" val="0"/>
        <cfvo type="num" val="0"/>
        <cfvo type="num" val="0.1"/>
      </iconSet>
    </cfRule>
    <cfRule type="iconSet" priority="12">
      <iconSet showValue="0">
        <cfvo type="percent" val="0"/>
        <cfvo type="num" val="0.9"/>
        <cfvo type="num" val="0.95"/>
      </iconSet>
    </cfRule>
  </conditionalFormatting>
  <conditionalFormatting sqref="I9">
    <cfRule type="iconSet" priority="11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13">
      <iconSet>
        <cfvo type="percent" val="0"/>
        <cfvo type="percent" val="33"/>
        <cfvo type="percent" val="67"/>
      </iconSet>
    </cfRule>
    <cfRule type="iconSet" priority="14">
      <iconSet iconSet="4Arrows">
        <cfvo type="percent" val="0"/>
        <cfvo type="percent" val="25"/>
        <cfvo type="percent" val="50"/>
        <cfvo type="percentile" val="75"/>
      </iconSet>
    </cfRule>
    <cfRule type="iconSet" priority="15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16">
      <iconSet iconSet="3Arrows">
        <cfvo type="percent" val="0"/>
        <cfvo type="percent" val="33"/>
        <cfvo type="percent" val="67"/>
      </iconSet>
    </cfRule>
  </conditionalFormatting>
  <conditionalFormatting sqref="I9">
    <cfRule type="iconSet" priority="10">
      <iconSet iconSet="5Arrows">
        <cfvo type="percent" val="0"/>
        <cfvo type="num" val="-0.2"/>
        <cfvo type="num" val="-0.05"/>
        <cfvo type="num" val="0.05"/>
        <cfvo type="num" val="0.2"/>
      </iconSet>
    </cfRule>
  </conditionalFormatting>
  <conditionalFormatting sqref="I11">
    <cfRule type="iconSet" priority="1">
      <iconSet iconSet="3Arrows">
        <cfvo type="percent" val="0"/>
        <cfvo type="num" val="-0.01"/>
        <cfvo type="num" val="0.01"/>
      </iconSet>
    </cfRule>
    <cfRule type="iconSet" priority="4">
      <iconSet showValue="0">
        <cfvo type="percent" val="0"/>
        <cfvo type="num" val="0.9"/>
        <cfvo type="num" val="0.95"/>
      </iconSet>
    </cfRule>
  </conditionalFormatting>
  <conditionalFormatting sqref="I11">
    <cfRule type="iconSet" priority="3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5">
      <iconSet>
        <cfvo type="percent" val="0"/>
        <cfvo type="percent" val="33"/>
        <cfvo type="percent" val="67"/>
      </iconSet>
    </cfRule>
    <cfRule type="iconSet" priority="6">
      <iconSet iconSet="4Arrows">
        <cfvo type="percent" val="0"/>
        <cfvo type="percent" val="25"/>
        <cfvo type="percent" val="50"/>
        <cfvo type="percentile" val="75"/>
      </iconSet>
    </cfRule>
    <cfRule type="iconSet" priority="7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8">
      <iconSet iconSet="3Arrows">
        <cfvo type="percent" val="0"/>
        <cfvo type="percent" val="33"/>
        <cfvo type="percent" val="67"/>
      </iconSet>
    </cfRule>
  </conditionalFormatting>
  <conditionalFormatting sqref="I11">
    <cfRule type="iconSet" priority="2">
      <iconSet iconSet="5Arrows">
        <cfvo type="percent" val="0"/>
        <cfvo type="num" val="-0.2"/>
        <cfvo type="num" val="-0.05"/>
        <cfvo type="num" val="0.05"/>
        <cfvo type="num" val="0.2"/>
      </iconSet>
    </cfRule>
  </conditionalFormatting>
  <pageMargins left="0.75" right="0.75" top="1" bottom="1" header="0.5" footer="0.5"/>
  <pageSetup scale="75" orientation="landscape" r:id="rId1"/>
  <headerFooter alignWithMargins="0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DFB4E3C7-C8D6-1B4C-B5B0-9A86C4FA35E4}">
            <x14:dataBar minLength="0" maxLength="100" negativeBarColorSameAsPositive="1" axisPosition="none">
              <x14:cfvo type="min"/>
              <x14:cfvo type="max"/>
            </x14:dataBar>
          </x14:cfRule>
          <xm:sqref>K7 K5</xm:sqref>
        </x14:conditionalFormatting>
        <x14:conditionalFormatting xmlns:xm="http://schemas.microsoft.com/office/excel/2006/main">
          <x14:cfRule type="dataBar" id="{9854F9D8-D821-9945-A413-6E3862CED3F9}">
            <x14:dataBar minLength="0" maxLength="100" negativeBarColorSameAsPositive="1" axisPosition="none">
              <x14:cfvo type="min"/>
              <x14:cfvo type="max"/>
            </x14:dataBar>
          </x14:cfRule>
          <xm:sqref>K9</xm:sqref>
        </x14:conditionalFormatting>
        <x14:conditionalFormatting xmlns:xm="http://schemas.microsoft.com/office/excel/2006/main">
          <x14:cfRule type="dataBar" id="{EE4481CB-9800-7B40-9A49-26DB090C9FF4}">
            <x14:dataBar minLength="0" maxLength="100" negativeBarColorSameAsPositive="1" axisPosition="none">
              <x14:cfvo type="min"/>
              <x14:cfvo type="max"/>
            </x14:dataBar>
          </x14:cfRule>
          <xm:sqref>K11</xm:sqref>
        </x14:conditionalFormatting>
      </x14:conditionalFormattings>
    </ext>
    <ext xmlns:x14="http://schemas.microsoft.com/office/spreadsheetml/2009/9/main" uri="{05C60535-1F16-4fd2-B633-F4F36F0B64E0}">
      <x14:sparklineGroups xmlns:xm="http://schemas.microsoft.com/office/excel/2006/main">
        <x14:sparklineGroup displayEmptyCellsAs="gap" high="1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data!J106:J117</xm:f>
              <xm:sqref>K9</xm:sqref>
            </x14:sparkline>
          </x14:sparklines>
        </x14:sparklineGroup>
        <x14:sparklineGroup displayEmptyCellsAs="gap" high="1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data!J3:J14</xm:f>
              <xm:sqref>K5</xm:sqref>
            </x14:sparkline>
          </x14:sparklines>
        </x14:sparklineGroup>
        <x14:sparklineGroup displayEmptyCellsAs="gap" high="1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data!J55:J66</xm:f>
              <xm:sqref>K7</xm:sqref>
            </x14:sparkline>
          </x14:sparklines>
        </x14:sparklineGroup>
      </x14:sparklineGroups>
    </ex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K37"/>
  <sheetViews>
    <sheetView zoomScale="70" zoomScaleNormal="70" zoomScalePageLayoutView="90" workbookViewId="0">
      <selection activeCell="B1" sqref="B1:K32"/>
    </sheetView>
  </sheetViews>
  <sheetFormatPr defaultColWidth="11.42578125" defaultRowHeight="12.75" x14ac:dyDescent="0.2"/>
  <cols>
    <col min="1" max="1" width="7.140625" customWidth="1"/>
    <col min="2" max="2" width="51.85546875" customWidth="1"/>
    <col min="3" max="3" width="20.7109375" customWidth="1"/>
    <col min="4" max="4" width="18.7109375" customWidth="1"/>
    <col min="5" max="5" width="3.42578125" customWidth="1"/>
    <col min="6" max="6" width="15.140625" customWidth="1"/>
    <col min="7" max="7" width="13" customWidth="1"/>
    <col min="8" max="8" width="1.7109375" customWidth="1"/>
    <col min="9" max="9" width="14.42578125" customWidth="1"/>
    <col min="10" max="10" width="15" customWidth="1"/>
    <col min="11" max="11" width="29.42578125" customWidth="1"/>
    <col min="12" max="12" width="19.85546875" customWidth="1"/>
    <col min="13" max="13" width="22.140625" customWidth="1"/>
  </cols>
  <sheetData>
    <row r="1" spans="1:11" ht="51.95" customHeight="1" thickBot="1" x14ac:dyDescent="0.25">
      <c r="A1" s="9"/>
      <c r="B1" s="188" t="s">
        <v>100</v>
      </c>
      <c r="C1" s="188"/>
      <c r="D1" s="188"/>
      <c r="E1" s="188"/>
      <c r="F1" s="188"/>
      <c r="G1" s="188"/>
      <c r="H1" s="188"/>
      <c r="I1" s="188"/>
      <c r="J1" s="188"/>
      <c r="K1" s="188"/>
    </row>
    <row r="2" spans="1:11" ht="24.95" customHeight="1" thickBot="1" x14ac:dyDescent="0.25">
      <c r="B2" s="205" t="str">
        <f>CONCATENATE("FY2016 Metrics ", Summary_data!S1)</f>
        <v>FY2016 Metrics (Oct 2015 to Sep 2016)</v>
      </c>
      <c r="C2" s="206"/>
      <c r="D2" s="207"/>
      <c r="F2" s="211" t="str">
        <f>CONCATENATE(data!$K$2, " Distribution and User Trends ", Summary_data!S1)</f>
        <v>ORNL Distribution and User Trends (Oct 2015 to Sep 2016)</v>
      </c>
      <c r="G2" s="212"/>
      <c r="H2" s="212"/>
      <c r="I2" s="213"/>
      <c r="J2" s="213"/>
      <c r="K2" s="214"/>
    </row>
    <row r="3" spans="1:11" ht="18" customHeight="1" thickBot="1" x14ac:dyDescent="0.25">
      <c r="B3" s="71" t="s">
        <v>74</v>
      </c>
      <c r="C3" s="71" t="s">
        <v>73</v>
      </c>
      <c r="D3" s="71" t="str">
        <f>Summary_data!$C$13</f>
        <v>ORNL</v>
      </c>
      <c r="F3" s="215" t="s">
        <v>74</v>
      </c>
      <c r="G3" s="72" t="s">
        <v>16</v>
      </c>
      <c r="H3" s="73"/>
      <c r="I3" s="74" t="s">
        <v>34</v>
      </c>
      <c r="J3" s="74" t="s">
        <v>41</v>
      </c>
      <c r="K3" s="75" t="s">
        <v>35</v>
      </c>
    </row>
    <row r="4" spans="1:11" ht="18" customHeight="1" thickBot="1" x14ac:dyDescent="0.25">
      <c r="B4" s="54" t="s">
        <v>0</v>
      </c>
      <c r="C4" s="98">
        <f>Summary_data!T13</f>
        <v>11140</v>
      </c>
      <c r="D4" s="100">
        <f>Summary_data!$D$13</f>
        <v>1243</v>
      </c>
      <c r="F4" s="216"/>
      <c r="G4" s="76" t="s">
        <v>89</v>
      </c>
      <c r="H4" s="77"/>
      <c r="I4" s="78" t="s">
        <v>22</v>
      </c>
      <c r="J4" s="77" t="s">
        <v>36</v>
      </c>
      <c r="K4" s="79" t="s">
        <v>37</v>
      </c>
    </row>
    <row r="5" spans="1:11" ht="18" customHeight="1" thickBot="1" x14ac:dyDescent="0.25">
      <c r="B5" s="55" t="s">
        <v>1</v>
      </c>
      <c r="C5" s="98">
        <f>Summary_data!T14</f>
        <v>3210968</v>
      </c>
      <c r="D5" s="101">
        <f>Summary_data!G$13</f>
        <v>40171</v>
      </c>
      <c r="F5" s="219" t="s">
        <v>78</v>
      </c>
      <c r="G5" s="228">
        <f>data!$K$15</f>
        <v>31.550469</v>
      </c>
      <c r="H5" s="209"/>
      <c r="I5" s="208">
        <f>(data!$K$15-data!$K$17)/data!$K$17</f>
        <v>1.4112262733703007</v>
      </c>
      <c r="J5" s="210">
        <f>data!$K$16</f>
        <v>2.6292057500000001</v>
      </c>
      <c r="K5" s="203"/>
    </row>
    <row r="6" spans="1:11" ht="18" customHeight="1" thickBot="1" x14ac:dyDescent="0.25">
      <c r="B6" s="55" t="s">
        <v>2</v>
      </c>
      <c r="C6" s="98">
        <f>Summary_data!T15</f>
        <v>2351536</v>
      </c>
      <c r="D6" s="101">
        <f>Summary_data!H$13</f>
        <v>31846</v>
      </c>
      <c r="F6" s="201"/>
      <c r="G6" s="229"/>
      <c r="H6" s="195"/>
      <c r="I6" s="197"/>
      <c r="J6" s="204"/>
      <c r="K6" s="189"/>
    </row>
    <row r="7" spans="1:11" ht="18" customHeight="1" thickBot="1" x14ac:dyDescent="0.25">
      <c r="B7" s="55" t="s">
        <v>3</v>
      </c>
      <c r="C7" s="99" t="str">
        <f>Summary_data!T16</f>
        <v>12,355.2 GB/day</v>
      </c>
      <c r="D7" s="99" t="str">
        <f>CONCATENATE(FIXED(1024*Summary_data!$K$13,1), " GB/day")</f>
        <v>38.1 GB/day</v>
      </c>
      <c r="F7" s="191" t="s">
        <v>72</v>
      </c>
      <c r="G7" s="230">
        <f>data!$K$67</f>
        <v>71.654050646128539</v>
      </c>
      <c r="H7" s="195"/>
      <c r="I7" s="197">
        <f>(data!$K$67-data!$K$69)/data!$K$69</f>
        <v>2.5077591110148543</v>
      </c>
      <c r="J7" s="204">
        <f>data!$K$68</f>
        <v>5.9711708871773785</v>
      </c>
      <c r="K7" s="189"/>
    </row>
    <row r="8" spans="1:11" ht="18" customHeight="1" thickBot="1" x14ac:dyDescent="0.25">
      <c r="B8" s="55" t="s">
        <v>4</v>
      </c>
      <c r="C8" s="98" t="str">
        <f>Summary_data!T17</f>
        <v>17,923.2 TB</v>
      </c>
      <c r="D8" s="102" t="str">
        <f>CONCATENATE(FIXED(Summary_data!$L$13,1), " TB")</f>
        <v>197.1 TB</v>
      </c>
      <c r="F8" s="201"/>
      <c r="G8" s="231"/>
      <c r="H8" s="195"/>
      <c r="I8" s="197"/>
      <c r="J8" s="204"/>
      <c r="K8" s="189"/>
    </row>
    <row r="9" spans="1:11" ht="18" customHeight="1" thickBot="1" x14ac:dyDescent="0.25">
      <c r="B9" s="55" t="s">
        <v>5</v>
      </c>
      <c r="C9" s="98" t="str">
        <f>Summary_data!T18</f>
        <v>1,512.9 M</v>
      </c>
      <c r="D9" s="101" t="str">
        <f>CONCATENATE(FIXED(Summary_data!$O$13,1), " M")</f>
        <v>31.6 M</v>
      </c>
      <c r="F9" s="191" t="s">
        <v>68</v>
      </c>
      <c r="G9" s="193">
        <f>data!$K$120</f>
        <v>22302</v>
      </c>
      <c r="H9" s="195"/>
      <c r="I9" s="197">
        <f>(data!$K$120-data!$K$121)/data!$K$121</f>
        <v>-0.37642947015238359</v>
      </c>
      <c r="J9" s="199">
        <f>data!$K$119</f>
        <v>2225</v>
      </c>
      <c r="K9" s="189"/>
    </row>
    <row r="10" spans="1:11" ht="18" customHeight="1" thickBot="1" x14ac:dyDescent="0.25">
      <c r="B10" s="56" t="s">
        <v>6</v>
      </c>
      <c r="C10" s="101" t="str">
        <f>Summary_data!T19</f>
        <v>40,987.6 GB/day</v>
      </c>
      <c r="D10" s="101" t="str">
        <f>CONCATENATE(FIXED(1024*Summary_data!$Q$13,1), " GB/day")</f>
        <v>200.5 GB/day</v>
      </c>
      <c r="F10" s="201"/>
      <c r="G10" s="226"/>
      <c r="H10" s="195"/>
      <c r="I10" s="197"/>
      <c r="J10" s="199"/>
      <c r="K10" s="189"/>
    </row>
    <row r="11" spans="1:11" ht="18" customHeight="1" x14ac:dyDescent="0.2">
      <c r="E11" s="5"/>
      <c r="F11" s="191" t="s">
        <v>77</v>
      </c>
      <c r="G11" s="193">
        <f>data!$K$196</f>
        <v>23530</v>
      </c>
      <c r="H11" s="195"/>
      <c r="I11" s="197">
        <f>(data!$K$196-data!$K$197)/data!$K$197</f>
        <v>1.1855842467025821</v>
      </c>
      <c r="J11" s="199">
        <f>data!$K$195</f>
        <v>2653.8333333333335</v>
      </c>
      <c r="K11" s="189"/>
    </row>
    <row r="12" spans="1:11" ht="18" customHeight="1" thickBot="1" x14ac:dyDescent="0.25">
      <c r="F12" s="192"/>
      <c r="G12" s="227"/>
      <c r="H12" s="196"/>
      <c r="I12" s="198"/>
      <c r="J12" s="200"/>
      <c r="K12" s="190"/>
    </row>
    <row r="13" spans="1:11" ht="18" customHeight="1" x14ac:dyDescent="0.2"/>
    <row r="14" spans="1:11" ht="24.95" customHeight="1" x14ac:dyDescent="0.2"/>
    <row r="15" spans="1:11" ht="24.95" customHeight="1" x14ac:dyDescent="0.2"/>
    <row r="16" spans="1:11" ht="24.95" customHeight="1" x14ac:dyDescent="0.2"/>
    <row r="17" ht="24.95" customHeight="1" x14ac:dyDescent="0.2"/>
    <row r="18" ht="24.95" customHeight="1" x14ac:dyDescent="0.2"/>
    <row r="19" ht="24.95" customHeight="1" x14ac:dyDescent="0.2"/>
    <row r="20" ht="24.95" customHeight="1" x14ac:dyDescent="0.2"/>
    <row r="21" ht="24.95" customHeight="1" x14ac:dyDescent="0.2"/>
    <row r="22" ht="24.95" customHeight="1" x14ac:dyDescent="0.2"/>
    <row r="23" ht="24.95" customHeight="1" x14ac:dyDescent="0.2"/>
    <row r="24" ht="24.95" customHeight="1" x14ac:dyDescent="0.2"/>
    <row r="25" ht="24.95" customHeight="1" x14ac:dyDescent="0.2"/>
    <row r="26" ht="24.95" customHeight="1" x14ac:dyDescent="0.2"/>
    <row r="27" ht="24.95" customHeight="1" x14ac:dyDescent="0.2"/>
    <row r="28" ht="24.95" customHeight="1" x14ac:dyDescent="0.2"/>
    <row r="29" ht="24.95" customHeight="1" x14ac:dyDescent="0.2"/>
    <row r="30" ht="24.95" customHeight="1" x14ac:dyDescent="0.2"/>
    <row r="31" ht="24.95" customHeight="1" x14ac:dyDescent="0.2"/>
    <row r="32" ht="24.95" customHeight="1" x14ac:dyDescent="0.2"/>
    <row r="33" ht="30" customHeight="1" x14ac:dyDescent="0.2"/>
    <row r="34" ht="30" customHeight="1" x14ac:dyDescent="0.2"/>
    <row r="35" ht="30" customHeight="1" x14ac:dyDescent="0.2"/>
    <row r="36" ht="30" customHeight="1" x14ac:dyDescent="0.2"/>
    <row r="37" ht="30" customHeight="1" x14ac:dyDescent="0.2"/>
  </sheetData>
  <dataConsolidate/>
  <mergeCells count="28">
    <mergeCell ref="J5:J6"/>
    <mergeCell ref="K5:K6"/>
    <mergeCell ref="F7:F8"/>
    <mergeCell ref="G7:G8"/>
    <mergeCell ref="H7:H8"/>
    <mergeCell ref="I7:I8"/>
    <mergeCell ref="J7:J8"/>
    <mergeCell ref="F3:F4"/>
    <mergeCell ref="F5:F6"/>
    <mergeCell ref="G5:G6"/>
    <mergeCell ref="H5:H6"/>
    <mergeCell ref="I5:I6"/>
    <mergeCell ref="B1:K1"/>
    <mergeCell ref="K11:K12"/>
    <mergeCell ref="F9:F10"/>
    <mergeCell ref="G9:G10"/>
    <mergeCell ref="H9:H10"/>
    <mergeCell ref="I9:I10"/>
    <mergeCell ref="J9:J10"/>
    <mergeCell ref="K9:K10"/>
    <mergeCell ref="F11:F12"/>
    <mergeCell ref="G11:G12"/>
    <mergeCell ref="H11:H12"/>
    <mergeCell ref="I11:I12"/>
    <mergeCell ref="J11:J12"/>
    <mergeCell ref="K7:K8"/>
    <mergeCell ref="B2:D2"/>
    <mergeCell ref="F2:K2"/>
  </mergeCells>
  <conditionalFormatting sqref="I5">
    <cfRule type="iconSet" priority="28">
      <iconSet iconSet="3Arrows">
        <cfvo type="percent" val="0"/>
        <cfvo type="num" val="-0.01"/>
        <cfvo type="num" val="0.01"/>
      </iconSet>
    </cfRule>
    <cfRule type="iconSet" priority="31">
      <iconSet showValue="0">
        <cfvo type="percent" val="0"/>
        <cfvo type="num" val="0.9"/>
        <cfvo type="num" val="0.95"/>
      </iconSet>
    </cfRule>
  </conditionalFormatting>
  <conditionalFormatting sqref="I5">
    <cfRule type="iconSet" priority="30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32">
      <iconSet>
        <cfvo type="percent" val="0"/>
        <cfvo type="percent" val="33"/>
        <cfvo type="percent" val="67"/>
      </iconSet>
    </cfRule>
    <cfRule type="iconSet" priority="33">
      <iconSet iconSet="4Arrows">
        <cfvo type="percent" val="0"/>
        <cfvo type="percent" val="25"/>
        <cfvo type="percent" val="50"/>
        <cfvo type="percentile" val="75"/>
      </iconSet>
    </cfRule>
    <cfRule type="iconSet" priority="34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35">
      <iconSet iconSet="3Arrows">
        <cfvo type="percent" val="0"/>
        <cfvo type="percent" val="33"/>
        <cfvo type="percent" val="67"/>
      </iconSet>
    </cfRule>
  </conditionalFormatting>
  <conditionalFormatting sqref="I5">
    <cfRule type="iconSet" priority="29">
      <iconSet iconSet="5Arrows">
        <cfvo type="percent" val="0"/>
        <cfvo type="num" val="-0.2"/>
        <cfvo type="num" val="-0.05"/>
        <cfvo type="num" val="0.05"/>
        <cfvo type="num" val="0.2"/>
      </iconSet>
    </cfRule>
  </conditionalFormatting>
  <conditionalFormatting sqref="K7 K5">
    <cfRule type="dataBar" priority="2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{78E45AA7-D7B0-BD47-A9AD-76B6AB9DA130}</x14:id>
        </ext>
      </extLst>
    </cfRule>
  </conditionalFormatting>
  <conditionalFormatting sqref="K9">
    <cfRule type="dataBar" priority="2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{E8679BD3-4BC0-864E-9970-FC6444C28B48}</x14:id>
        </ext>
      </extLst>
    </cfRule>
  </conditionalFormatting>
  <conditionalFormatting sqref="K11">
    <cfRule type="dataBar" priority="2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{3E251777-48CB-6041-B959-26447995F755}</x14:id>
        </ext>
      </extLst>
    </cfRule>
  </conditionalFormatting>
  <conditionalFormatting sqref="I7">
    <cfRule type="iconSet" priority="17">
      <iconSet iconSet="3Arrows">
        <cfvo type="percent" val="0"/>
        <cfvo type="num" val="-0.01"/>
        <cfvo type="num" val="0.01"/>
      </iconSet>
    </cfRule>
    <cfRule type="iconSet" priority="20">
      <iconSet showValue="0">
        <cfvo type="percent" val="0"/>
        <cfvo type="num" val="0.9"/>
        <cfvo type="num" val="0.95"/>
      </iconSet>
    </cfRule>
  </conditionalFormatting>
  <conditionalFormatting sqref="I7">
    <cfRule type="iconSet" priority="19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21">
      <iconSet>
        <cfvo type="percent" val="0"/>
        <cfvo type="percent" val="33"/>
        <cfvo type="percent" val="67"/>
      </iconSet>
    </cfRule>
    <cfRule type="iconSet" priority="22">
      <iconSet iconSet="4Arrows">
        <cfvo type="percent" val="0"/>
        <cfvo type="percent" val="25"/>
        <cfvo type="percent" val="50"/>
        <cfvo type="percentile" val="75"/>
      </iconSet>
    </cfRule>
    <cfRule type="iconSet" priority="23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24">
      <iconSet iconSet="3Arrows">
        <cfvo type="percent" val="0"/>
        <cfvo type="percent" val="33"/>
        <cfvo type="percent" val="67"/>
      </iconSet>
    </cfRule>
  </conditionalFormatting>
  <conditionalFormatting sqref="I7">
    <cfRule type="iconSet" priority="18">
      <iconSet iconSet="5Arrows">
        <cfvo type="percent" val="0"/>
        <cfvo type="num" val="-0.2"/>
        <cfvo type="num" val="-0.05"/>
        <cfvo type="num" val="0.05"/>
        <cfvo type="num" val="0.2"/>
      </iconSet>
    </cfRule>
  </conditionalFormatting>
  <conditionalFormatting sqref="I9">
    <cfRule type="iconSet" priority="9">
      <iconSet iconSet="3Arrows">
        <cfvo type="percent" val="0"/>
        <cfvo type="num" val="-0.01"/>
        <cfvo type="num" val="0.01"/>
      </iconSet>
    </cfRule>
    <cfRule type="iconSet" priority="12">
      <iconSet showValue="0">
        <cfvo type="percent" val="0"/>
        <cfvo type="num" val="0.9"/>
        <cfvo type="num" val="0.95"/>
      </iconSet>
    </cfRule>
  </conditionalFormatting>
  <conditionalFormatting sqref="I9">
    <cfRule type="iconSet" priority="11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13">
      <iconSet>
        <cfvo type="percent" val="0"/>
        <cfvo type="percent" val="33"/>
        <cfvo type="percent" val="67"/>
      </iconSet>
    </cfRule>
    <cfRule type="iconSet" priority="14">
      <iconSet iconSet="4Arrows">
        <cfvo type="percent" val="0"/>
        <cfvo type="percent" val="25"/>
        <cfvo type="percent" val="50"/>
        <cfvo type="percentile" val="75"/>
      </iconSet>
    </cfRule>
    <cfRule type="iconSet" priority="15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16">
      <iconSet iconSet="3Arrows">
        <cfvo type="percent" val="0"/>
        <cfvo type="percent" val="33"/>
        <cfvo type="percent" val="67"/>
      </iconSet>
    </cfRule>
  </conditionalFormatting>
  <conditionalFormatting sqref="I9">
    <cfRule type="iconSet" priority="10">
      <iconSet iconSet="5Arrows">
        <cfvo type="percent" val="0"/>
        <cfvo type="num" val="-0.2"/>
        <cfvo type="num" val="-0.05"/>
        <cfvo type="num" val="0.05"/>
        <cfvo type="num" val="0.2"/>
      </iconSet>
    </cfRule>
  </conditionalFormatting>
  <conditionalFormatting sqref="I11">
    <cfRule type="iconSet" priority="1">
      <iconSet iconSet="3Arrows">
        <cfvo type="percent" val="0"/>
        <cfvo type="num" val="-0.01"/>
        <cfvo type="num" val="0.01"/>
      </iconSet>
    </cfRule>
    <cfRule type="iconSet" priority="4">
      <iconSet showValue="0">
        <cfvo type="percent" val="0"/>
        <cfvo type="num" val="0.9"/>
        <cfvo type="num" val="0.95"/>
      </iconSet>
    </cfRule>
  </conditionalFormatting>
  <conditionalFormatting sqref="I11">
    <cfRule type="iconSet" priority="3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5">
      <iconSet>
        <cfvo type="percent" val="0"/>
        <cfvo type="percent" val="33"/>
        <cfvo type="percent" val="67"/>
      </iconSet>
    </cfRule>
    <cfRule type="iconSet" priority="6">
      <iconSet iconSet="4Arrows">
        <cfvo type="percent" val="0"/>
        <cfvo type="percent" val="25"/>
        <cfvo type="percent" val="50"/>
        <cfvo type="percentile" val="75"/>
      </iconSet>
    </cfRule>
    <cfRule type="iconSet" priority="7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8">
      <iconSet iconSet="3Arrows">
        <cfvo type="percent" val="0"/>
        <cfvo type="percent" val="33"/>
        <cfvo type="percent" val="67"/>
      </iconSet>
    </cfRule>
  </conditionalFormatting>
  <conditionalFormatting sqref="I11">
    <cfRule type="iconSet" priority="2">
      <iconSet iconSet="5Arrows">
        <cfvo type="percent" val="0"/>
        <cfvo type="num" val="-0.2"/>
        <cfvo type="num" val="-0.05"/>
        <cfvo type="num" val="0.05"/>
        <cfvo type="num" val="0.2"/>
      </iconSet>
    </cfRule>
  </conditionalFormatting>
  <pageMargins left="0.75" right="0.75" top="1" bottom="1" header="0.5" footer="0.5"/>
  <pageSetup scale="75" orientation="landscape" r:id="rId1"/>
  <headerFooter alignWithMargins="0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8E45AA7-D7B0-BD47-A9AD-76B6AB9DA130}">
            <x14:dataBar minLength="0" maxLength="100" negativeBarColorSameAsPositive="1" axisPosition="none">
              <x14:cfvo type="min"/>
              <x14:cfvo type="max"/>
            </x14:dataBar>
          </x14:cfRule>
          <xm:sqref>K7 K5</xm:sqref>
        </x14:conditionalFormatting>
        <x14:conditionalFormatting xmlns:xm="http://schemas.microsoft.com/office/excel/2006/main">
          <x14:cfRule type="dataBar" id="{E8679BD3-4BC0-864E-9970-FC6444C28B48}">
            <x14:dataBar minLength="0" maxLength="100" negativeBarColorSameAsPositive="1" axisPosition="none">
              <x14:cfvo type="min"/>
              <x14:cfvo type="max"/>
            </x14:dataBar>
          </x14:cfRule>
          <xm:sqref>K9</xm:sqref>
        </x14:conditionalFormatting>
        <x14:conditionalFormatting xmlns:xm="http://schemas.microsoft.com/office/excel/2006/main">
          <x14:cfRule type="dataBar" id="{3E251777-48CB-6041-B959-26447995F755}">
            <x14:dataBar minLength="0" maxLength="100" negativeBarColorSameAsPositive="1" axisPosition="none">
              <x14:cfvo type="min"/>
              <x14:cfvo type="max"/>
            </x14:dataBar>
          </x14:cfRule>
          <xm:sqref>K11</xm:sqref>
        </x14:conditionalFormatting>
      </x14:conditionalFormattings>
    </ext>
    <ext xmlns:x14="http://schemas.microsoft.com/office/spreadsheetml/2009/9/main" uri="{05C60535-1F16-4fd2-B633-F4F36F0B64E0}">
      <x14:sparklineGroups xmlns:xm="http://schemas.microsoft.com/office/excel/2006/main">
        <x14:sparklineGroup displayEmptyCellsAs="gap" high="1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data!K182:K193</xm:f>
              <xm:sqref>K11</xm:sqref>
            </x14:sparkline>
          </x14:sparklines>
        </x14:sparklineGroup>
        <x14:sparklineGroup displayEmptyCellsAs="gap" high="1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data!K106:K117</xm:f>
              <xm:sqref>K9</xm:sqref>
            </x14:sparkline>
          </x14:sparklines>
        </x14:sparklineGroup>
        <x14:sparklineGroup displayEmptyCellsAs="gap" high="1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data!K3:K14</xm:f>
              <xm:sqref>K5</xm:sqref>
            </x14:sparkline>
          </x14:sparklines>
        </x14:sparklineGroup>
        <x14:sparklineGroup displayEmptyCellsAs="gap" high="1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data!K55:K66</xm:f>
              <xm:sqref>K7</xm:sqref>
            </x14:sparkline>
          </x14:sparklines>
        </x14:sparklineGroup>
      </x14:sparklineGroups>
    </ex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K37"/>
  <sheetViews>
    <sheetView zoomScale="70" zoomScaleNormal="70" zoomScalePageLayoutView="90" workbookViewId="0">
      <selection activeCell="B1" sqref="B1:K32"/>
    </sheetView>
  </sheetViews>
  <sheetFormatPr defaultColWidth="11.42578125" defaultRowHeight="12.75" x14ac:dyDescent="0.2"/>
  <cols>
    <col min="1" max="1" width="7.140625" customWidth="1"/>
    <col min="2" max="2" width="51.85546875" customWidth="1"/>
    <col min="3" max="3" width="20.7109375" customWidth="1"/>
    <col min="4" max="4" width="18.7109375" customWidth="1"/>
    <col min="5" max="5" width="3.42578125" customWidth="1"/>
    <col min="6" max="6" width="15.140625" customWidth="1"/>
    <col min="7" max="7" width="13" customWidth="1"/>
    <col min="8" max="8" width="1.7109375" customWidth="1"/>
    <col min="9" max="9" width="14.42578125" customWidth="1"/>
    <col min="10" max="10" width="15" customWidth="1"/>
    <col min="11" max="11" width="29.42578125" customWidth="1"/>
    <col min="12" max="12" width="19.85546875" customWidth="1"/>
    <col min="13" max="13" width="22.140625" customWidth="1"/>
  </cols>
  <sheetData>
    <row r="1" spans="1:11" ht="51.95" customHeight="1" thickBot="1" x14ac:dyDescent="0.25">
      <c r="A1" s="9"/>
      <c r="B1" s="188" t="s">
        <v>101</v>
      </c>
      <c r="C1" s="188"/>
      <c r="D1" s="188"/>
      <c r="E1" s="188"/>
      <c r="F1" s="188"/>
      <c r="G1" s="188"/>
      <c r="H1" s="188"/>
      <c r="I1" s="188"/>
      <c r="J1" s="188"/>
      <c r="K1" s="188"/>
    </row>
    <row r="2" spans="1:11" ht="24.95" customHeight="1" thickBot="1" x14ac:dyDescent="0.25">
      <c r="B2" s="205" t="str">
        <f>CONCATENATE("FY2016 Metrics ", Summary_data!S1)</f>
        <v>FY2016 Metrics (Oct 2015 to Sep 2016)</v>
      </c>
      <c r="C2" s="206"/>
      <c r="D2" s="207"/>
      <c r="F2" s="211" t="str">
        <f>CONCATENATE(data!$L$2, " Distribution and User Trends ", Summary_data!S1)</f>
        <v>PO.DAAC Distribution and User Trends (Oct 2015 to Sep 2016)</v>
      </c>
      <c r="G2" s="212"/>
      <c r="H2" s="212"/>
      <c r="I2" s="213"/>
      <c r="J2" s="213"/>
      <c r="K2" s="214"/>
    </row>
    <row r="3" spans="1:11" ht="18" customHeight="1" thickBot="1" x14ac:dyDescent="0.25">
      <c r="B3" s="71" t="s">
        <v>74</v>
      </c>
      <c r="C3" s="71" t="s">
        <v>73</v>
      </c>
      <c r="D3" s="71" t="str">
        <f>Summary_data!$C$14</f>
        <v>PO.DAAC</v>
      </c>
      <c r="F3" s="215" t="s">
        <v>74</v>
      </c>
      <c r="G3" s="72" t="s">
        <v>16</v>
      </c>
      <c r="H3" s="73"/>
      <c r="I3" s="74" t="s">
        <v>34</v>
      </c>
      <c r="J3" s="74" t="s">
        <v>41</v>
      </c>
      <c r="K3" s="75" t="s">
        <v>35</v>
      </c>
    </row>
    <row r="4" spans="1:11" ht="18" customHeight="1" thickBot="1" x14ac:dyDescent="0.25">
      <c r="B4" s="54" t="s">
        <v>0</v>
      </c>
      <c r="C4" s="98">
        <f>Summary_data!T13</f>
        <v>11140</v>
      </c>
      <c r="D4" s="100">
        <f>Summary_data!$D$14</f>
        <v>2026</v>
      </c>
      <c r="F4" s="216"/>
      <c r="G4" s="76" t="s">
        <v>89</v>
      </c>
      <c r="H4" s="77"/>
      <c r="I4" s="78" t="s">
        <v>22</v>
      </c>
      <c r="J4" s="77" t="s">
        <v>36</v>
      </c>
      <c r="K4" s="79" t="s">
        <v>37</v>
      </c>
    </row>
    <row r="5" spans="1:11" ht="18" customHeight="1" thickBot="1" x14ac:dyDescent="0.25">
      <c r="B5" s="55" t="s">
        <v>1</v>
      </c>
      <c r="C5" s="98">
        <f>Summary_data!T14</f>
        <v>3210968</v>
      </c>
      <c r="D5" s="101">
        <f>Summary_data!G$14</f>
        <v>57794</v>
      </c>
      <c r="F5" s="219" t="s">
        <v>78</v>
      </c>
      <c r="G5" s="228">
        <f>data!$L$15</f>
        <v>93.017982000000018</v>
      </c>
      <c r="H5" s="209"/>
      <c r="I5" s="208">
        <f>(data!$L$15-data!$L$17)/data!$L$17</f>
        <v>0.20526385465762659</v>
      </c>
      <c r="J5" s="210">
        <f>data!$L$16</f>
        <v>7.7514985000000012</v>
      </c>
      <c r="K5" s="203"/>
    </row>
    <row r="6" spans="1:11" ht="18" customHeight="1" thickBot="1" x14ac:dyDescent="0.25">
      <c r="B6" s="55" t="s">
        <v>2</v>
      </c>
      <c r="C6" s="98">
        <f>Summary_data!T15</f>
        <v>2351536</v>
      </c>
      <c r="D6" s="101">
        <f>Summary_data!H$14</f>
        <v>36216</v>
      </c>
      <c r="F6" s="201"/>
      <c r="G6" s="229"/>
      <c r="H6" s="195"/>
      <c r="I6" s="197"/>
      <c r="J6" s="204"/>
      <c r="K6" s="189"/>
    </row>
    <row r="7" spans="1:11" ht="18" customHeight="1" thickBot="1" x14ac:dyDescent="0.25">
      <c r="B7" s="55" t="s">
        <v>3</v>
      </c>
      <c r="C7" s="99" t="str">
        <f>Summary_data!T16</f>
        <v>12,355.2 GB/day</v>
      </c>
      <c r="D7" s="99" t="str">
        <f>CONCATENATE(FIXED(1024*Summary_data!$K$14,1), " GB/day")</f>
        <v>217.6 GB/day</v>
      </c>
      <c r="F7" s="191" t="s">
        <v>72</v>
      </c>
      <c r="G7" s="230">
        <f>data!$L$67</f>
        <v>481.28024073248207</v>
      </c>
      <c r="H7" s="195"/>
      <c r="I7" s="197">
        <f>(data!$L$67-data!$L$69)/data!$L$69</f>
        <v>0.59901533898463377</v>
      </c>
      <c r="J7" s="204">
        <f>data!$L$68</f>
        <v>40.106686727706837</v>
      </c>
      <c r="K7" s="189"/>
    </row>
    <row r="8" spans="1:11" ht="18" customHeight="1" thickBot="1" x14ac:dyDescent="0.25">
      <c r="B8" s="55" t="s">
        <v>4</v>
      </c>
      <c r="C8" s="98" t="str">
        <f>Summary_data!T17</f>
        <v>17,923.2 TB</v>
      </c>
      <c r="D8" s="102" t="str">
        <f>CONCATENATE(FIXED(Summary_data!$L$14,1), " TB")</f>
        <v>164.0 TB</v>
      </c>
      <c r="F8" s="201"/>
      <c r="G8" s="231"/>
      <c r="H8" s="195"/>
      <c r="I8" s="197"/>
      <c r="J8" s="204"/>
      <c r="K8" s="189"/>
    </row>
    <row r="9" spans="1:11" ht="18" customHeight="1" thickBot="1" x14ac:dyDescent="0.25">
      <c r="B9" s="55" t="s">
        <v>5</v>
      </c>
      <c r="C9" s="98" t="str">
        <f>Summary_data!T18</f>
        <v>1,512.9 M</v>
      </c>
      <c r="D9" s="101" t="str">
        <f>CONCATENATE(FIXED(Summary_data!$O$14,1), " M")</f>
        <v>93.0 M</v>
      </c>
      <c r="F9" s="191" t="s">
        <v>68</v>
      </c>
      <c r="G9" s="193">
        <f>data!$L$120</f>
        <v>40464</v>
      </c>
      <c r="H9" s="195"/>
      <c r="I9" s="197">
        <f>(data!$L$120-data!$L$121)/data!$L$121</f>
        <v>0.29609224855861627</v>
      </c>
      <c r="J9" s="199">
        <f>data!$L$119</f>
        <v>4709.583333333333</v>
      </c>
      <c r="K9" s="189"/>
    </row>
    <row r="10" spans="1:11" ht="18" customHeight="1" thickBot="1" x14ac:dyDescent="0.25">
      <c r="B10" s="56" t="s">
        <v>6</v>
      </c>
      <c r="C10" s="101" t="str">
        <f>Summary_data!T19</f>
        <v>40,987.6 GB/day</v>
      </c>
      <c r="D10" s="101" t="str">
        <f>CONCATENATE(FIXED(1024*Summary_data!$Q$14,1), " GB/day")</f>
        <v>1,346.5 GB/day</v>
      </c>
      <c r="F10" s="201"/>
      <c r="G10" s="226"/>
      <c r="H10" s="195"/>
      <c r="I10" s="197"/>
      <c r="J10" s="199"/>
      <c r="K10" s="189"/>
    </row>
    <row r="11" spans="1:11" ht="18" customHeight="1" x14ac:dyDescent="0.2">
      <c r="E11" s="5"/>
      <c r="F11" s="191" t="s">
        <v>77</v>
      </c>
      <c r="G11" s="193">
        <f>data!$L$196</f>
        <v>25158</v>
      </c>
      <c r="H11" s="195"/>
      <c r="I11" s="197">
        <f>(data!$L$196-data!$L$197)/data!$L$197</f>
        <v>7.5174152741570147E-2</v>
      </c>
      <c r="J11" s="199">
        <f>data!$L$195</f>
        <v>3018</v>
      </c>
      <c r="K11" s="189"/>
    </row>
    <row r="12" spans="1:11" ht="18" customHeight="1" thickBot="1" x14ac:dyDescent="0.25">
      <c r="F12" s="192"/>
      <c r="G12" s="227"/>
      <c r="H12" s="196"/>
      <c r="I12" s="198"/>
      <c r="J12" s="200"/>
      <c r="K12" s="190"/>
    </row>
    <row r="13" spans="1:11" ht="18" customHeight="1" x14ac:dyDescent="0.2"/>
    <row r="14" spans="1:11" ht="24.95" customHeight="1" x14ac:dyDescent="0.2"/>
    <row r="15" spans="1:11" ht="24.95" customHeight="1" x14ac:dyDescent="0.2"/>
    <row r="16" spans="1:11" ht="24.95" customHeight="1" x14ac:dyDescent="0.2"/>
    <row r="17" ht="24.95" customHeight="1" x14ac:dyDescent="0.2"/>
    <row r="18" ht="24.95" customHeight="1" x14ac:dyDescent="0.2"/>
    <row r="19" ht="24.95" customHeight="1" x14ac:dyDescent="0.2"/>
    <row r="20" ht="24.95" customHeight="1" x14ac:dyDescent="0.2"/>
    <row r="21" ht="24.95" customHeight="1" x14ac:dyDescent="0.2"/>
    <row r="22" ht="24.95" customHeight="1" x14ac:dyDescent="0.2"/>
    <row r="23" ht="24.95" customHeight="1" x14ac:dyDescent="0.2"/>
    <row r="24" ht="24.95" customHeight="1" x14ac:dyDescent="0.2"/>
    <row r="25" ht="24.95" customHeight="1" x14ac:dyDescent="0.2"/>
    <row r="26" ht="24.95" customHeight="1" x14ac:dyDescent="0.2"/>
    <row r="27" ht="24.95" customHeight="1" x14ac:dyDescent="0.2"/>
    <row r="28" ht="24.95" customHeight="1" x14ac:dyDescent="0.2"/>
    <row r="29" ht="24.95" customHeight="1" x14ac:dyDescent="0.2"/>
    <row r="30" ht="24.95" customHeight="1" x14ac:dyDescent="0.2"/>
    <row r="31" ht="24.95" customHeight="1" x14ac:dyDescent="0.2"/>
    <row r="32" ht="24.95" customHeight="1" x14ac:dyDescent="0.2"/>
    <row r="33" ht="30" customHeight="1" x14ac:dyDescent="0.2"/>
    <row r="34" ht="30" customHeight="1" x14ac:dyDescent="0.2"/>
    <row r="35" ht="30" customHeight="1" x14ac:dyDescent="0.2"/>
    <row r="36" ht="30" customHeight="1" x14ac:dyDescent="0.2"/>
    <row r="37" ht="30" customHeight="1" x14ac:dyDescent="0.2"/>
  </sheetData>
  <dataConsolidate/>
  <mergeCells count="28">
    <mergeCell ref="J5:J6"/>
    <mergeCell ref="K5:K6"/>
    <mergeCell ref="F7:F8"/>
    <mergeCell ref="G7:G8"/>
    <mergeCell ref="H7:H8"/>
    <mergeCell ref="I7:I8"/>
    <mergeCell ref="J7:J8"/>
    <mergeCell ref="F3:F4"/>
    <mergeCell ref="F5:F6"/>
    <mergeCell ref="G5:G6"/>
    <mergeCell ref="H5:H6"/>
    <mergeCell ref="I5:I6"/>
    <mergeCell ref="B1:K1"/>
    <mergeCell ref="K11:K12"/>
    <mergeCell ref="F9:F10"/>
    <mergeCell ref="G9:G10"/>
    <mergeCell ref="H9:H10"/>
    <mergeCell ref="I9:I10"/>
    <mergeCell ref="J9:J10"/>
    <mergeCell ref="K9:K10"/>
    <mergeCell ref="F11:F12"/>
    <mergeCell ref="G11:G12"/>
    <mergeCell ref="H11:H12"/>
    <mergeCell ref="I11:I12"/>
    <mergeCell ref="J11:J12"/>
    <mergeCell ref="K7:K8"/>
    <mergeCell ref="B2:D2"/>
    <mergeCell ref="F2:K2"/>
  </mergeCells>
  <conditionalFormatting sqref="I5">
    <cfRule type="iconSet" priority="28">
      <iconSet iconSet="3Arrows">
        <cfvo type="percent" val="0"/>
        <cfvo type="num" val="-0.01"/>
        <cfvo type="num" val="0.01"/>
      </iconSet>
    </cfRule>
    <cfRule type="iconSet" priority="31">
      <iconSet showValue="0">
        <cfvo type="percent" val="0"/>
        <cfvo type="num" val="0.9"/>
        <cfvo type="num" val="0.95"/>
      </iconSet>
    </cfRule>
  </conditionalFormatting>
  <conditionalFormatting sqref="I5">
    <cfRule type="iconSet" priority="30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32">
      <iconSet>
        <cfvo type="percent" val="0"/>
        <cfvo type="percent" val="33"/>
        <cfvo type="percent" val="67"/>
      </iconSet>
    </cfRule>
    <cfRule type="iconSet" priority="33">
      <iconSet iconSet="4Arrows">
        <cfvo type="percent" val="0"/>
        <cfvo type="percent" val="25"/>
        <cfvo type="percent" val="50"/>
        <cfvo type="percentile" val="75"/>
      </iconSet>
    </cfRule>
    <cfRule type="iconSet" priority="34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35">
      <iconSet iconSet="3Arrows">
        <cfvo type="percent" val="0"/>
        <cfvo type="percent" val="33"/>
        <cfvo type="percent" val="67"/>
      </iconSet>
    </cfRule>
  </conditionalFormatting>
  <conditionalFormatting sqref="I5">
    <cfRule type="iconSet" priority="29">
      <iconSet iconSet="5Arrows">
        <cfvo type="percent" val="0"/>
        <cfvo type="num" val="-0.2"/>
        <cfvo type="num" val="-0.05"/>
        <cfvo type="num" val="0.05"/>
        <cfvo type="num" val="0.2"/>
      </iconSet>
    </cfRule>
  </conditionalFormatting>
  <conditionalFormatting sqref="K7 K5">
    <cfRule type="dataBar" priority="2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{0310F14A-84F3-DF4A-A74A-75E76026E706}</x14:id>
        </ext>
      </extLst>
    </cfRule>
  </conditionalFormatting>
  <conditionalFormatting sqref="K9">
    <cfRule type="dataBar" priority="2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{ED353B51-7CDA-1144-B638-4D892ACC8C87}</x14:id>
        </ext>
      </extLst>
    </cfRule>
  </conditionalFormatting>
  <conditionalFormatting sqref="K11">
    <cfRule type="dataBar" priority="2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{F46DD5FE-004D-4B40-A657-E48D0BB37332}</x14:id>
        </ext>
      </extLst>
    </cfRule>
  </conditionalFormatting>
  <conditionalFormatting sqref="I7">
    <cfRule type="iconSet" priority="17">
      <iconSet iconSet="3Arrows">
        <cfvo type="percent" val="0"/>
        <cfvo type="num" val="-0.01"/>
        <cfvo type="num" val="0.01"/>
      </iconSet>
    </cfRule>
    <cfRule type="iconSet" priority="20">
      <iconSet showValue="0">
        <cfvo type="percent" val="0"/>
        <cfvo type="num" val="0.9"/>
        <cfvo type="num" val="0.95"/>
      </iconSet>
    </cfRule>
  </conditionalFormatting>
  <conditionalFormatting sqref="I7">
    <cfRule type="iconSet" priority="19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21">
      <iconSet>
        <cfvo type="percent" val="0"/>
        <cfvo type="percent" val="33"/>
        <cfvo type="percent" val="67"/>
      </iconSet>
    </cfRule>
    <cfRule type="iconSet" priority="22">
      <iconSet iconSet="4Arrows">
        <cfvo type="percent" val="0"/>
        <cfvo type="percent" val="25"/>
        <cfvo type="percent" val="50"/>
        <cfvo type="percentile" val="75"/>
      </iconSet>
    </cfRule>
    <cfRule type="iconSet" priority="23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24">
      <iconSet iconSet="3Arrows">
        <cfvo type="percent" val="0"/>
        <cfvo type="percent" val="33"/>
        <cfvo type="percent" val="67"/>
      </iconSet>
    </cfRule>
  </conditionalFormatting>
  <conditionalFormatting sqref="I7">
    <cfRule type="iconSet" priority="18">
      <iconSet iconSet="5Arrows">
        <cfvo type="percent" val="0"/>
        <cfvo type="num" val="-0.2"/>
        <cfvo type="num" val="-0.05"/>
        <cfvo type="num" val="0.05"/>
        <cfvo type="num" val="0.2"/>
      </iconSet>
    </cfRule>
  </conditionalFormatting>
  <conditionalFormatting sqref="I9">
    <cfRule type="iconSet" priority="9">
      <iconSet iconSet="3Arrows">
        <cfvo type="percent" val="0"/>
        <cfvo type="num" val="-0.01"/>
        <cfvo type="num" val="0.01"/>
      </iconSet>
    </cfRule>
    <cfRule type="iconSet" priority="12">
      <iconSet showValue="0">
        <cfvo type="percent" val="0"/>
        <cfvo type="num" val="0.9"/>
        <cfvo type="num" val="0.95"/>
      </iconSet>
    </cfRule>
  </conditionalFormatting>
  <conditionalFormatting sqref="I9">
    <cfRule type="iconSet" priority="11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13">
      <iconSet>
        <cfvo type="percent" val="0"/>
        <cfvo type="percent" val="33"/>
        <cfvo type="percent" val="67"/>
      </iconSet>
    </cfRule>
    <cfRule type="iconSet" priority="14">
      <iconSet iconSet="4Arrows">
        <cfvo type="percent" val="0"/>
        <cfvo type="percent" val="25"/>
        <cfvo type="percent" val="50"/>
        <cfvo type="percentile" val="75"/>
      </iconSet>
    </cfRule>
    <cfRule type="iconSet" priority="15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16">
      <iconSet iconSet="3Arrows">
        <cfvo type="percent" val="0"/>
        <cfvo type="percent" val="33"/>
        <cfvo type="percent" val="67"/>
      </iconSet>
    </cfRule>
  </conditionalFormatting>
  <conditionalFormatting sqref="I9">
    <cfRule type="iconSet" priority="10">
      <iconSet iconSet="5Arrows">
        <cfvo type="percent" val="0"/>
        <cfvo type="num" val="-0.2"/>
        <cfvo type="num" val="-0.05"/>
        <cfvo type="num" val="0.05"/>
        <cfvo type="num" val="0.2"/>
      </iconSet>
    </cfRule>
  </conditionalFormatting>
  <conditionalFormatting sqref="I11">
    <cfRule type="iconSet" priority="1">
      <iconSet iconSet="3Arrows">
        <cfvo type="percent" val="0"/>
        <cfvo type="num" val="-0.01"/>
        <cfvo type="num" val="0.01"/>
      </iconSet>
    </cfRule>
    <cfRule type="iconSet" priority="4">
      <iconSet showValue="0">
        <cfvo type="percent" val="0"/>
        <cfvo type="num" val="0.9"/>
        <cfvo type="num" val="0.95"/>
      </iconSet>
    </cfRule>
  </conditionalFormatting>
  <conditionalFormatting sqref="I11">
    <cfRule type="iconSet" priority="3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5">
      <iconSet>
        <cfvo type="percent" val="0"/>
        <cfvo type="percent" val="33"/>
        <cfvo type="percent" val="67"/>
      </iconSet>
    </cfRule>
    <cfRule type="iconSet" priority="6">
      <iconSet iconSet="4Arrows">
        <cfvo type="percent" val="0"/>
        <cfvo type="percent" val="25"/>
        <cfvo type="percent" val="50"/>
        <cfvo type="percentile" val="75"/>
      </iconSet>
    </cfRule>
    <cfRule type="iconSet" priority="7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8">
      <iconSet iconSet="3Arrows">
        <cfvo type="percent" val="0"/>
        <cfvo type="percent" val="33"/>
        <cfvo type="percent" val="67"/>
      </iconSet>
    </cfRule>
  </conditionalFormatting>
  <conditionalFormatting sqref="I11">
    <cfRule type="iconSet" priority="2">
      <iconSet iconSet="5Arrows">
        <cfvo type="percent" val="0"/>
        <cfvo type="num" val="-0.2"/>
        <cfvo type="num" val="-0.05"/>
        <cfvo type="num" val="0.05"/>
        <cfvo type="num" val="0.2"/>
      </iconSet>
    </cfRule>
  </conditionalFormatting>
  <pageMargins left="0.75" right="0.75" top="1" bottom="1" header="0.5" footer="0.5"/>
  <pageSetup scale="75" orientation="landscape" r:id="rId1"/>
  <headerFooter alignWithMargins="0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0310F14A-84F3-DF4A-A74A-75E76026E706}">
            <x14:dataBar minLength="0" maxLength="100" negativeBarColorSameAsPositive="1" axisPosition="none">
              <x14:cfvo type="min"/>
              <x14:cfvo type="max"/>
            </x14:dataBar>
          </x14:cfRule>
          <xm:sqref>K7 K5</xm:sqref>
        </x14:conditionalFormatting>
        <x14:conditionalFormatting xmlns:xm="http://schemas.microsoft.com/office/excel/2006/main">
          <x14:cfRule type="dataBar" id="{ED353B51-7CDA-1144-B638-4D892ACC8C87}">
            <x14:dataBar minLength="0" maxLength="100" negativeBarColorSameAsPositive="1" axisPosition="none">
              <x14:cfvo type="min"/>
              <x14:cfvo type="max"/>
            </x14:dataBar>
          </x14:cfRule>
          <xm:sqref>K9</xm:sqref>
        </x14:conditionalFormatting>
        <x14:conditionalFormatting xmlns:xm="http://schemas.microsoft.com/office/excel/2006/main">
          <x14:cfRule type="dataBar" id="{F46DD5FE-004D-4B40-A657-E48D0BB37332}">
            <x14:dataBar minLength="0" maxLength="100" negativeBarColorSameAsPositive="1" axisPosition="none">
              <x14:cfvo type="min"/>
              <x14:cfvo type="max"/>
            </x14:dataBar>
          </x14:cfRule>
          <xm:sqref>K11</xm:sqref>
        </x14:conditionalFormatting>
      </x14:conditionalFormattings>
    </ext>
    <ext xmlns:x14="http://schemas.microsoft.com/office/spreadsheetml/2009/9/main" uri="{05C60535-1F16-4fd2-B633-F4F36F0B64E0}">
      <x14:sparklineGroups xmlns:xm="http://schemas.microsoft.com/office/excel/2006/main">
        <x14:sparklineGroup displayEmptyCellsAs="gap" high="1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data!L55:L66</xm:f>
              <xm:sqref>K7</xm:sqref>
            </x14:sparkline>
          </x14:sparklines>
        </x14:sparklineGroup>
        <x14:sparklineGroup displayEmptyCellsAs="gap" high="1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data!L3:L14</xm:f>
              <xm:sqref>K5</xm:sqref>
            </x14:sparkline>
          </x14:sparklines>
        </x14:sparklineGroup>
        <x14:sparklineGroup displayEmptyCellsAs="gap" high="1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data!L106:L117</xm:f>
              <xm:sqref>K9</xm:sqref>
            </x14:sparkline>
          </x14:sparklines>
        </x14:sparklineGroup>
        <x14:sparklineGroup displayEmptyCellsAs="gap" high="1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data!L182:L193</xm:f>
              <xm:sqref>K11</xm:sqref>
            </x14:sparkline>
          </x14:sparklines>
        </x14:sparklineGroup>
      </x14:sparklineGroups>
    </ext>
    <ext xmlns:mx="http://schemas.microsoft.com/office/mac/excel/2008/main" uri="{64002731-A6B0-56B0-2670-7721B7C09600}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K37"/>
  <sheetViews>
    <sheetView zoomScale="70" zoomScaleNormal="70" zoomScalePageLayoutView="90" workbookViewId="0">
      <selection activeCell="B1" sqref="B1:K32"/>
    </sheetView>
  </sheetViews>
  <sheetFormatPr defaultColWidth="11.42578125" defaultRowHeight="12.75" x14ac:dyDescent="0.2"/>
  <cols>
    <col min="1" max="1" width="7.140625" customWidth="1"/>
    <col min="2" max="2" width="51.85546875" customWidth="1"/>
    <col min="3" max="3" width="20.7109375" customWidth="1"/>
    <col min="4" max="4" width="18.7109375" customWidth="1"/>
    <col min="5" max="5" width="3.42578125" customWidth="1"/>
    <col min="6" max="6" width="15.140625" customWidth="1"/>
    <col min="7" max="7" width="13" customWidth="1"/>
    <col min="8" max="8" width="1.7109375" customWidth="1"/>
    <col min="9" max="9" width="14.42578125" customWidth="1"/>
    <col min="10" max="10" width="15" customWidth="1"/>
    <col min="11" max="11" width="29.42578125" customWidth="1"/>
    <col min="12" max="12" width="19.85546875" customWidth="1"/>
    <col min="13" max="13" width="22.140625" customWidth="1"/>
  </cols>
  <sheetData>
    <row r="1" spans="1:11" ht="51.95" customHeight="1" thickBot="1" x14ac:dyDescent="0.25">
      <c r="A1" s="9"/>
      <c r="B1" s="188" t="s">
        <v>102</v>
      </c>
      <c r="C1" s="188"/>
      <c r="D1" s="188"/>
      <c r="E1" s="188"/>
      <c r="F1" s="188"/>
      <c r="G1" s="188"/>
      <c r="H1" s="188"/>
      <c r="I1" s="188"/>
      <c r="J1" s="188"/>
      <c r="K1" s="188"/>
    </row>
    <row r="2" spans="1:11" ht="24.95" customHeight="1" thickBot="1" x14ac:dyDescent="0.25">
      <c r="B2" s="205" t="str">
        <f>CONCATENATE("FY2016 Metrics ", Summary_data!S1)</f>
        <v>FY2016 Metrics (Oct 2015 to Sep 2016)</v>
      </c>
      <c r="C2" s="206"/>
      <c r="D2" s="207"/>
      <c r="F2" s="211" t="str">
        <f>CONCATENATE(data!$M$2, " Distribution and User Trends ", Summary_data!S1)</f>
        <v>SEDAC Distribution and User Trends (Oct 2015 to Sep 2016)</v>
      </c>
      <c r="G2" s="212"/>
      <c r="H2" s="212"/>
      <c r="I2" s="213"/>
      <c r="J2" s="213"/>
      <c r="K2" s="214"/>
    </row>
    <row r="3" spans="1:11" ht="18" customHeight="1" thickBot="1" x14ac:dyDescent="0.25">
      <c r="B3" s="71" t="s">
        <v>74</v>
      </c>
      <c r="C3" s="71" t="s">
        <v>73</v>
      </c>
      <c r="D3" s="71" t="str">
        <f>Summary_data!$C$15</f>
        <v>SEDAC</v>
      </c>
      <c r="F3" s="215" t="s">
        <v>74</v>
      </c>
      <c r="G3" s="72" t="s">
        <v>16</v>
      </c>
      <c r="H3" s="73"/>
      <c r="I3" s="74" t="s">
        <v>34</v>
      </c>
      <c r="J3" s="74" t="s">
        <v>41</v>
      </c>
      <c r="K3" s="75" t="s">
        <v>35</v>
      </c>
    </row>
    <row r="4" spans="1:11" ht="18" customHeight="1" thickBot="1" x14ac:dyDescent="0.25">
      <c r="B4" s="54" t="s">
        <v>0</v>
      </c>
      <c r="C4" s="98">
        <f>Summary_data!T13</f>
        <v>11140</v>
      </c>
      <c r="D4" s="100">
        <f>Summary_data!$D$15</f>
        <v>253</v>
      </c>
      <c r="F4" s="216"/>
      <c r="G4" s="76" t="s">
        <v>89</v>
      </c>
      <c r="H4" s="77"/>
      <c r="I4" s="78" t="s">
        <v>22</v>
      </c>
      <c r="J4" s="77" t="s">
        <v>36</v>
      </c>
      <c r="K4" s="79" t="s">
        <v>37</v>
      </c>
    </row>
    <row r="5" spans="1:11" ht="18" customHeight="1" thickBot="1" x14ac:dyDescent="0.25">
      <c r="B5" s="55" t="s">
        <v>1</v>
      </c>
      <c r="C5" s="98">
        <f>Summary_data!T14</f>
        <v>3210968</v>
      </c>
      <c r="D5" s="101">
        <f>Summary_data!G$15</f>
        <v>653811</v>
      </c>
      <c r="F5" s="219" t="s">
        <v>78</v>
      </c>
      <c r="G5" s="228">
        <f>data!$M$15</f>
        <v>5.7873920000000005</v>
      </c>
      <c r="H5" s="209"/>
      <c r="I5" s="208">
        <f>(data!$M$15-data!$M$17)/data!$M$17</f>
        <v>-0.24365000474402018</v>
      </c>
      <c r="J5" s="210">
        <f>data!$M$16</f>
        <v>0.48228266666666669</v>
      </c>
      <c r="K5" s="203"/>
    </row>
    <row r="6" spans="1:11" ht="18" customHeight="1" thickBot="1" x14ac:dyDescent="0.25">
      <c r="B6" s="55" t="s">
        <v>2</v>
      </c>
      <c r="C6" s="98">
        <f>Summary_data!T15</f>
        <v>2351536</v>
      </c>
      <c r="D6" s="101">
        <f>Summary_data!H$15</f>
        <v>88746</v>
      </c>
      <c r="F6" s="201"/>
      <c r="G6" s="229"/>
      <c r="H6" s="195"/>
      <c r="I6" s="197"/>
      <c r="J6" s="204"/>
      <c r="K6" s="189"/>
    </row>
    <row r="7" spans="1:11" ht="18" customHeight="1" thickBot="1" x14ac:dyDescent="0.25">
      <c r="B7" s="55" t="s">
        <v>3</v>
      </c>
      <c r="C7" s="101" t="str">
        <f>Summary_data!T16</f>
        <v>12,355.2 GB/day</v>
      </c>
      <c r="D7" s="99" t="str">
        <f>CONCATENATE(FIXED(1024*Summary_data!$K$15,2), " GB/day")</f>
        <v>0.99 GB/day</v>
      </c>
      <c r="F7" s="191" t="s">
        <v>72</v>
      </c>
      <c r="G7" s="230">
        <f>data!$M$67</f>
        <v>2.8853466487826123</v>
      </c>
      <c r="H7" s="195"/>
      <c r="I7" s="197">
        <f>(data!$M$67-data!$M$69)/data!$M$69</f>
        <v>0.72512137655793718</v>
      </c>
      <c r="J7" s="204">
        <f>data!$M$68</f>
        <v>0.2404455540652177</v>
      </c>
      <c r="K7" s="189"/>
    </row>
    <row r="8" spans="1:11" ht="18" customHeight="1" thickBot="1" x14ac:dyDescent="0.25">
      <c r="B8" s="55" t="s">
        <v>4</v>
      </c>
      <c r="C8" s="98" t="str">
        <f>Summary_data!T17</f>
        <v>17,923.2 TB</v>
      </c>
      <c r="D8" s="102" t="str">
        <f>CONCATENATE(FIXED(Summary_data!$L$15,1), " TB")</f>
        <v>3.7 TB</v>
      </c>
      <c r="F8" s="201"/>
      <c r="G8" s="231"/>
      <c r="H8" s="195"/>
      <c r="I8" s="197"/>
      <c r="J8" s="204"/>
      <c r="K8" s="189"/>
    </row>
    <row r="9" spans="1:11" ht="18" customHeight="1" thickBot="1" x14ac:dyDescent="0.25">
      <c r="B9" s="55" t="s">
        <v>5</v>
      </c>
      <c r="C9" s="98" t="str">
        <f>Summary_data!T18</f>
        <v>1,512.9 M</v>
      </c>
      <c r="D9" s="101" t="str">
        <f>CONCATENATE(FIXED(Summary_data!$O$15,1), " M")</f>
        <v>5.8 M</v>
      </c>
      <c r="F9" s="191" t="s">
        <v>68</v>
      </c>
      <c r="G9" s="193">
        <f>data!$M$120</f>
        <v>627879</v>
      </c>
      <c r="H9" s="195"/>
      <c r="I9" s="197">
        <f>(data!$M$120-data!$M$121)/data!$M$121</f>
        <v>-0.12446070051064376</v>
      </c>
      <c r="J9" s="199">
        <f>data!$M$119</f>
        <v>61957.083333333336</v>
      </c>
      <c r="K9" s="189"/>
    </row>
    <row r="10" spans="1:11" ht="18" customHeight="1" thickBot="1" x14ac:dyDescent="0.25">
      <c r="B10" s="56" t="s">
        <v>6</v>
      </c>
      <c r="C10" s="101" t="str">
        <f>Summary_data!T19</f>
        <v>40,987.6 GB/day</v>
      </c>
      <c r="D10" s="101" t="str">
        <f>CONCATENATE(FIXED(1024*Summary_data!$Q$15,1), " GB/day")</f>
        <v>8.1 GB/day</v>
      </c>
      <c r="F10" s="201"/>
      <c r="G10" s="226"/>
      <c r="H10" s="195"/>
      <c r="I10" s="197"/>
      <c r="J10" s="199"/>
      <c r="K10" s="189"/>
    </row>
    <row r="11" spans="1:11" ht="18" customHeight="1" x14ac:dyDescent="0.2">
      <c r="E11" s="5"/>
      <c r="F11" s="191" t="s">
        <v>77</v>
      </c>
      <c r="G11" s="193">
        <f>data!$M$196</f>
        <v>72917</v>
      </c>
      <c r="H11" s="195"/>
      <c r="I11" s="197">
        <f>(data!$M$196-data!$M$197)/data!$M$197</f>
        <v>-1.402223003488655E-2</v>
      </c>
      <c r="J11" s="199">
        <f>data!$M$195</f>
        <v>7395.5</v>
      </c>
      <c r="K11" s="189"/>
    </row>
    <row r="12" spans="1:11" ht="18" customHeight="1" thickBot="1" x14ac:dyDescent="0.25">
      <c r="F12" s="192"/>
      <c r="G12" s="227"/>
      <c r="H12" s="196"/>
      <c r="I12" s="198"/>
      <c r="J12" s="200"/>
      <c r="K12" s="190"/>
    </row>
    <row r="13" spans="1:11" ht="18" customHeight="1" x14ac:dyDescent="0.2"/>
    <row r="14" spans="1:11" ht="24.95" customHeight="1" x14ac:dyDescent="0.2"/>
    <row r="15" spans="1:11" ht="24.95" customHeight="1" x14ac:dyDescent="0.2"/>
    <row r="16" spans="1:11" ht="24.95" customHeight="1" x14ac:dyDescent="0.2"/>
    <row r="17" ht="24.95" customHeight="1" x14ac:dyDescent="0.2"/>
    <row r="18" ht="24.95" customHeight="1" x14ac:dyDescent="0.2"/>
    <row r="19" ht="24.95" customHeight="1" x14ac:dyDescent="0.2"/>
    <row r="20" ht="24.95" customHeight="1" x14ac:dyDescent="0.2"/>
    <row r="21" ht="24.95" customHeight="1" x14ac:dyDescent="0.2"/>
    <row r="22" ht="24.95" customHeight="1" x14ac:dyDescent="0.2"/>
    <row r="23" ht="24.95" customHeight="1" x14ac:dyDescent="0.2"/>
    <row r="24" ht="24.95" customHeight="1" x14ac:dyDescent="0.2"/>
    <row r="25" ht="24.95" customHeight="1" x14ac:dyDescent="0.2"/>
    <row r="26" ht="24.95" customHeight="1" x14ac:dyDescent="0.2"/>
    <row r="27" ht="24.95" customHeight="1" x14ac:dyDescent="0.2"/>
    <row r="28" ht="24.95" customHeight="1" x14ac:dyDescent="0.2"/>
    <row r="29" ht="24.95" customHeight="1" x14ac:dyDescent="0.2"/>
    <row r="30" ht="24.95" customHeight="1" x14ac:dyDescent="0.2"/>
    <row r="31" ht="24.95" customHeight="1" x14ac:dyDescent="0.2"/>
    <row r="32" ht="24.95" customHeight="1" x14ac:dyDescent="0.2"/>
    <row r="33" ht="30" customHeight="1" x14ac:dyDescent="0.2"/>
    <row r="34" ht="30" customHeight="1" x14ac:dyDescent="0.2"/>
    <row r="35" ht="30" customHeight="1" x14ac:dyDescent="0.2"/>
    <row r="36" ht="30" customHeight="1" x14ac:dyDescent="0.2"/>
    <row r="37" ht="30" customHeight="1" x14ac:dyDescent="0.2"/>
  </sheetData>
  <dataConsolidate/>
  <mergeCells count="28">
    <mergeCell ref="K11:K12"/>
    <mergeCell ref="F9:F10"/>
    <mergeCell ref="G9:G10"/>
    <mergeCell ref="H9:H10"/>
    <mergeCell ref="I9:I10"/>
    <mergeCell ref="J9:J10"/>
    <mergeCell ref="K9:K10"/>
    <mergeCell ref="F11:F12"/>
    <mergeCell ref="G11:G12"/>
    <mergeCell ref="H11:H12"/>
    <mergeCell ref="I11:I12"/>
    <mergeCell ref="J11:J12"/>
    <mergeCell ref="B1:K1"/>
    <mergeCell ref="K7:K8"/>
    <mergeCell ref="B2:D2"/>
    <mergeCell ref="F2:K2"/>
    <mergeCell ref="F3:F4"/>
    <mergeCell ref="F5:F6"/>
    <mergeCell ref="G5:G6"/>
    <mergeCell ref="H5:H6"/>
    <mergeCell ref="I5:I6"/>
    <mergeCell ref="J5:J6"/>
    <mergeCell ref="K5:K6"/>
    <mergeCell ref="F7:F8"/>
    <mergeCell ref="G7:G8"/>
    <mergeCell ref="H7:H8"/>
    <mergeCell ref="I7:I8"/>
    <mergeCell ref="J7:J8"/>
  </mergeCells>
  <conditionalFormatting sqref="I5">
    <cfRule type="iconSet" priority="28">
      <iconSet iconSet="3Arrows">
        <cfvo type="percent" val="0"/>
        <cfvo type="num" val="-0.01"/>
        <cfvo type="num" val="0.01"/>
      </iconSet>
    </cfRule>
    <cfRule type="iconSet" priority="31">
      <iconSet showValue="0">
        <cfvo type="percent" val="0"/>
        <cfvo type="num" val="0.9"/>
        <cfvo type="num" val="0.95"/>
      </iconSet>
    </cfRule>
  </conditionalFormatting>
  <conditionalFormatting sqref="I5">
    <cfRule type="iconSet" priority="30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32">
      <iconSet>
        <cfvo type="percent" val="0"/>
        <cfvo type="percent" val="33"/>
        <cfvo type="percent" val="67"/>
      </iconSet>
    </cfRule>
    <cfRule type="iconSet" priority="33">
      <iconSet iconSet="4Arrows">
        <cfvo type="percent" val="0"/>
        <cfvo type="percent" val="25"/>
        <cfvo type="percent" val="50"/>
        <cfvo type="percentile" val="75"/>
      </iconSet>
    </cfRule>
    <cfRule type="iconSet" priority="34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35">
      <iconSet iconSet="3Arrows">
        <cfvo type="percent" val="0"/>
        <cfvo type="percent" val="33"/>
        <cfvo type="percent" val="67"/>
      </iconSet>
    </cfRule>
  </conditionalFormatting>
  <conditionalFormatting sqref="I5">
    <cfRule type="iconSet" priority="29">
      <iconSet iconSet="5Arrows">
        <cfvo type="percent" val="0"/>
        <cfvo type="num" val="-0.2"/>
        <cfvo type="num" val="-0.05"/>
        <cfvo type="num" val="0.05"/>
        <cfvo type="num" val="0.2"/>
      </iconSet>
    </cfRule>
  </conditionalFormatting>
  <conditionalFormatting sqref="K7 K5">
    <cfRule type="dataBar" priority="2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{F7ED5237-CD7F-7945-94D6-894FB9DC7BB8}</x14:id>
        </ext>
      </extLst>
    </cfRule>
  </conditionalFormatting>
  <conditionalFormatting sqref="K9">
    <cfRule type="dataBar" priority="2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{7736DFA4-F95A-D64A-8616-9627953CBFB0}</x14:id>
        </ext>
      </extLst>
    </cfRule>
  </conditionalFormatting>
  <conditionalFormatting sqref="K11">
    <cfRule type="dataBar" priority="2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{85523759-5E8A-AD41-978C-47A06965EAC7}</x14:id>
        </ext>
      </extLst>
    </cfRule>
  </conditionalFormatting>
  <conditionalFormatting sqref="I7">
    <cfRule type="iconSet" priority="17">
      <iconSet iconSet="3Arrows">
        <cfvo type="percent" val="0"/>
        <cfvo type="num" val="-0.01"/>
        <cfvo type="num" val="0.01"/>
      </iconSet>
    </cfRule>
    <cfRule type="iconSet" priority="20">
      <iconSet showValue="0">
        <cfvo type="percent" val="0"/>
        <cfvo type="num" val="0.9"/>
        <cfvo type="num" val="0.95"/>
      </iconSet>
    </cfRule>
  </conditionalFormatting>
  <conditionalFormatting sqref="I7">
    <cfRule type="iconSet" priority="19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21">
      <iconSet>
        <cfvo type="percent" val="0"/>
        <cfvo type="percent" val="33"/>
        <cfvo type="percent" val="67"/>
      </iconSet>
    </cfRule>
    <cfRule type="iconSet" priority="22">
      <iconSet iconSet="4Arrows">
        <cfvo type="percent" val="0"/>
        <cfvo type="percent" val="25"/>
        <cfvo type="percent" val="50"/>
        <cfvo type="percentile" val="75"/>
      </iconSet>
    </cfRule>
    <cfRule type="iconSet" priority="23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24">
      <iconSet iconSet="3Arrows">
        <cfvo type="percent" val="0"/>
        <cfvo type="percent" val="33"/>
        <cfvo type="percent" val="67"/>
      </iconSet>
    </cfRule>
  </conditionalFormatting>
  <conditionalFormatting sqref="I7">
    <cfRule type="iconSet" priority="18">
      <iconSet iconSet="5Arrows">
        <cfvo type="percent" val="0"/>
        <cfvo type="num" val="-0.2"/>
        <cfvo type="num" val="-0.05"/>
        <cfvo type="num" val="0.05"/>
        <cfvo type="num" val="0.2"/>
      </iconSet>
    </cfRule>
  </conditionalFormatting>
  <conditionalFormatting sqref="I9">
    <cfRule type="iconSet" priority="9">
      <iconSet iconSet="3Arrows">
        <cfvo type="percent" val="0"/>
        <cfvo type="num" val="-0.01"/>
        <cfvo type="num" val="0.01"/>
      </iconSet>
    </cfRule>
    <cfRule type="iconSet" priority="12">
      <iconSet showValue="0">
        <cfvo type="percent" val="0"/>
        <cfvo type="num" val="0.9"/>
        <cfvo type="num" val="0.95"/>
      </iconSet>
    </cfRule>
  </conditionalFormatting>
  <conditionalFormatting sqref="I9">
    <cfRule type="iconSet" priority="11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13">
      <iconSet>
        <cfvo type="percent" val="0"/>
        <cfvo type="percent" val="33"/>
        <cfvo type="percent" val="67"/>
      </iconSet>
    </cfRule>
    <cfRule type="iconSet" priority="14">
      <iconSet iconSet="4Arrows">
        <cfvo type="percent" val="0"/>
        <cfvo type="percent" val="25"/>
        <cfvo type="percent" val="50"/>
        <cfvo type="percentile" val="75"/>
      </iconSet>
    </cfRule>
    <cfRule type="iconSet" priority="15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16">
      <iconSet iconSet="3Arrows">
        <cfvo type="percent" val="0"/>
        <cfvo type="percent" val="33"/>
        <cfvo type="percent" val="67"/>
      </iconSet>
    </cfRule>
  </conditionalFormatting>
  <conditionalFormatting sqref="I9">
    <cfRule type="iconSet" priority="10">
      <iconSet iconSet="5Arrows">
        <cfvo type="percent" val="0"/>
        <cfvo type="num" val="-0.2"/>
        <cfvo type="num" val="-0.05"/>
        <cfvo type="num" val="0.05"/>
        <cfvo type="num" val="0.2"/>
      </iconSet>
    </cfRule>
  </conditionalFormatting>
  <conditionalFormatting sqref="I11">
    <cfRule type="iconSet" priority="1">
      <iconSet iconSet="3Arrows">
        <cfvo type="percent" val="0"/>
        <cfvo type="num" val="-0.01"/>
        <cfvo type="num" val="0.01"/>
      </iconSet>
    </cfRule>
    <cfRule type="iconSet" priority="4">
      <iconSet showValue="0">
        <cfvo type="percent" val="0"/>
        <cfvo type="num" val="0.9"/>
        <cfvo type="num" val="0.95"/>
      </iconSet>
    </cfRule>
  </conditionalFormatting>
  <conditionalFormatting sqref="I11">
    <cfRule type="iconSet" priority="3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5">
      <iconSet>
        <cfvo type="percent" val="0"/>
        <cfvo type="percent" val="33"/>
        <cfvo type="percent" val="67"/>
      </iconSet>
    </cfRule>
    <cfRule type="iconSet" priority="6">
      <iconSet iconSet="4Arrows">
        <cfvo type="percent" val="0"/>
        <cfvo type="percent" val="25"/>
        <cfvo type="percent" val="50"/>
        <cfvo type="percentile" val="75"/>
      </iconSet>
    </cfRule>
    <cfRule type="iconSet" priority="7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8">
      <iconSet iconSet="3Arrows">
        <cfvo type="percent" val="0"/>
        <cfvo type="percent" val="33"/>
        <cfvo type="percent" val="67"/>
      </iconSet>
    </cfRule>
  </conditionalFormatting>
  <conditionalFormatting sqref="I11">
    <cfRule type="iconSet" priority="2">
      <iconSet iconSet="5Arrows">
        <cfvo type="percent" val="0"/>
        <cfvo type="num" val="-0.2"/>
        <cfvo type="num" val="-0.05"/>
        <cfvo type="num" val="0.05"/>
        <cfvo type="num" val="0.2"/>
      </iconSet>
    </cfRule>
  </conditionalFormatting>
  <pageMargins left="0.75" right="0.75" top="1" bottom="1" header="0.5" footer="0.5"/>
  <pageSetup scale="75" orientation="landscape" r:id="rId1"/>
  <headerFooter alignWithMargins="0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7ED5237-CD7F-7945-94D6-894FB9DC7BB8}">
            <x14:dataBar minLength="0" maxLength="100" negativeBarColorSameAsPositive="1" axisPosition="none">
              <x14:cfvo type="min"/>
              <x14:cfvo type="max"/>
            </x14:dataBar>
          </x14:cfRule>
          <xm:sqref>K7 K5</xm:sqref>
        </x14:conditionalFormatting>
        <x14:conditionalFormatting xmlns:xm="http://schemas.microsoft.com/office/excel/2006/main">
          <x14:cfRule type="dataBar" id="{7736DFA4-F95A-D64A-8616-9627953CBFB0}">
            <x14:dataBar minLength="0" maxLength="100" negativeBarColorSameAsPositive="1" axisPosition="none">
              <x14:cfvo type="min"/>
              <x14:cfvo type="max"/>
            </x14:dataBar>
          </x14:cfRule>
          <xm:sqref>K9</xm:sqref>
        </x14:conditionalFormatting>
        <x14:conditionalFormatting xmlns:xm="http://schemas.microsoft.com/office/excel/2006/main">
          <x14:cfRule type="dataBar" id="{85523759-5E8A-AD41-978C-47A06965EAC7}">
            <x14:dataBar minLength="0" maxLength="100" negativeBarColorSameAsPositive="1" axisPosition="none">
              <x14:cfvo type="min"/>
              <x14:cfvo type="max"/>
            </x14:dataBar>
          </x14:cfRule>
          <xm:sqref>K11</xm:sqref>
        </x14:conditionalFormatting>
      </x14:conditionalFormattings>
    </ext>
    <ext xmlns:x14="http://schemas.microsoft.com/office/spreadsheetml/2009/9/main" uri="{05C60535-1F16-4fd2-B633-F4F36F0B64E0}">
      <x14:sparklineGroups xmlns:xm="http://schemas.microsoft.com/office/excel/2006/main">
        <x14:sparklineGroup displayEmptyCellsAs="gap" high="1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data!M182:M193</xm:f>
              <xm:sqref>K11</xm:sqref>
            </x14:sparkline>
          </x14:sparklines>
        </x14:sparklineGroup>
        <x14:sparklineGroup displayEmptyCellsAs="gap" high="1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data!M106:M117</xm:f>
              <xm:sqref>K9</xm:sqref>
            </x14:sparkline>
          </x14:sparklines>
        </x14:sparklineGroup>
        <x14:sparklineGroup displayEmptyCellsAs="gap" high="1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data!M3:M14</xm:f>
              <xm:sqref>K5</xm:sqref>
            </x14:sparkline>
          </x14:sparklines>
        </x14:sparklineGroup>
        <x14:sparklineGroup displayEmptyCellsAs="gap" high="1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data!M55:M66</xm:f>
              <xm:sqref>K7</xm:sqref>
            </x14:sparkline>
          </x14:sparklines>
        </x14:sparklineGroup>
      </x14:sparklineGroups>
    </ext>
    <ext xmlns:mx="http://schemas.microsoft.com/office/mac/excel/2008/main" uri="{64002731-A6B0-56B0-2670-7721B7C09600}">
      <mx:PLV Mode="0" OnePage="0" WScale="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K36"/>
  <sheetViews>
    <sheetView zoomScale="60" zoomScaleNormal="60" zoomScalePageLayoutView="90" workbookViewId="0">
      <selection activeCell="B1" sqref="B1:K34"/>
    </sheetView>
  </sheetViews>
  <sheetFormatPr defaultColWidth="11.42578125" defaultRowHeight="12.75" x14ac:dyDescent="0.2"/>
  <cols>
    <col min="1" max="1" width="7.140625" customWidth="1"/>
    <col min="2" max="2" width="64.7109375" customWidth="1"/>
    <col min="3" max="3" width="20.7109375" customWidth="1"/>
    <col min="4" max="4" width="18.7109375" customWidth="1"/>
    <col min="5" max="5" width="3.42578125" customWidth="1"/>
    <col min="6" max="6" width="18.5703125" customWidth="1"/>
    <col min="7" max="7" width="13" customWidth="1"/>
    <col min="8" max="8" width="1.7109375" customWidth="1"/>
    <col min="9" max="9" width="14.42578125" customWidth="1"/>
    <col min="10" max="10" width="15" customWidth="1"/>
    <col min="11" max="11" width="29.42578125" customWidth="1"/>
    <col min="12" max="12" width="19.85546875" customWidth="1"/>
    <col min="13" max="13" width="22.140625" customWidth="1"/>
    <col min="14" max="14" width="42.85546875" customWidth="1"/>
    <col min="15" max="15" width="29.85546875" customWidth="1"/>
  </cols>
  <sheetData>
    <row r="1" spans="1:11" ht="51.95" customHeight="1" thickBot="1" x14ac:dyDescent="0.25">
      <c r="A1" s="9"/>
      <c r="B1" s="188" t="str">
        <f>CONCATENATE(L_data!B2, " Summary for FY 2016")</f>
        <v>LANCE Summary for FY 2016</v>
      </c>
      <c r="C1" s="188"/>
      <c r="D1" s="188"/>
      <c r="E1" s="188"/>
      <c r="F1" s="188"/>
      <c r="G1" s="188"/>
      <c r="H1" s="188"/>
      <c r="I1" s="188"/>
      <c r="J1" s="188"/>
      <c r="K1" s="188"/>
    </row>
    <row r="2" spans="1:11" ht="24.95" customHeight="1" thickBot="1" x14ac:dyDescent="0.25">
      <c r="B2" s="205" t="s">
        <v>112</v>
      </c>
      <c r="C2" s="206"/>
      <c r="D2" s="207"/>
      <c r="F2" s="211" t="str">
        <f>CONCATENATE(L_data!B2, " Distribution and User Trends (Oct 2015 - Sep 2016)")</f>
        <v>LANCE Distribution and User Trends (Oct 2015 - Sep 2016)</v>
      </c>
      <c r="G2" s="212"/>
      <c r="H2" s="212"/>
      <c r="I2" s="213"/>
      <c r="J2" s="213"/>
      <c r="K2" s="214"/>
    </row>
    <row r="3" spans="1:11" ht="18" customHeight="1" thickBot="1" x14ac:dyDescent="0.25">
      <c r="B3" s="71" t="s">
        <v>74</v>
      </c>
      <c r="C3" s="71" t="s">
        <v>73</v>
      </c>
      <c r="D3" s="71" t="str">
        <f>L_Summary_data!B4</f>
        <v>LANCE</v>
      </c>
      <c r="F3" s="215" t="s">
        <v>74</v>
      </c>
      <c r="G3" s="72" t="s">
        <v>16</v>
      </c>
      <c r="H3" s="73"/>
      <c r="I3" s="74" t="s">
        <v>34</v>
      </c>
      <c r="J3" s="74" t="s">
        <v>41</v>
      </c>
      <c r="K3" s="75" t="s">
        <v>35</v>
      </c>
    </row>
    <row r="4" spans="1:11" ht="18" customHeight="1" thickBot="1" x14ac:dyDescent="0.25">
      <c r="B4" s="177" t="s">
        <v>172</v>
      </c>
      <c r="C4" s="98">
        <f>L_Summary_data!S13</f>
        <v>11140</v>
      </c>
      <c r="D4" s="178">
        <f>L_Summary_data!C4</f>
        <v>367</v>
      </c>
      <c r="F4" s="216"/>
      <c r="G4" s="76" t="s">
        <v>89</v>
      </c>
      <c r="H4" s="77"/>
      <c r="I4" s="78" t="s">
        <v>22</v>
      </c>
      <c r="J4" s="77" t="s">
        <v>36</v>
      </c>
      <c r="K4" s="79" t="s">
        <v>37</v>
      </c>
    </row>
    <row r="5" spans="1:11" ht="18" customHeight="1" thickBot="1" x14ac:dyDescent="0.25">
      <c r="B5" s="179" t="s">
        <v>173</v>
      </c>
      <c r="C5" s="98">
        <f>L_Summary_data!S14</f>
        <v>3210968</v>
      </c>
      <c r="D5" s="180">
        <f>L_Summary_data!F4</f>
        <v>187695</v>
      </c>
      <c r="F5" s="219" t="s">
        <v>78</v>
      </c>
      <c r="G5" s="220">
        <f>L_data!B16</f>
        <v>76.334549999999993</v>
      </c>
      <c r="H5" s="209"/>
      <c r="I5" s="197">
        <f>(L_data!B$16-L_data!B$18)/L_data!B$18</f>
        <v>5.2309760132340594E-2</v>
      </c>
      <c r="J5" s="210">
        <f>L_data!B$17</f>
        <v>6.3612124999999997</v>
      </c>
      <c r="K5" s="241"/>
    </row>
    <row r="6" spans="1:11" ht="18" customHeight="1" thickBot="1" x14ac:dyDescent="0.25">
      <c r="B6" s="179" t="s">
        <v>174</v>
      </c>
      <c r="C6" s="98"/>
      <c r="D6" s="180">
        <v>1975</v>
      </c>
      <c r="F6" s="201"/>
      <c r="G6" s="221"/>
      <c r="H6" s="195"/>
      <c r="I6" s="197"/>
      <c r="J6" s="204"/>
      <c r="K6" s="240"/>
    </row>
    <row r="7" spans="1:11" ht="18" customHeight="1" thickBot="1" x14ac:dyDescent="0.25">
      <c r="B7" s="179" t="s">
        <v>175</v>
      </c>
      <c r="C7" s="98"/>
      <c r="D7" s="180">
        <v>555922</v>
      </c>
      <c r="F7" s="191" t="s">
        <v>72</v>
      </c>
      <c r="G7" s="217">
        <f>L_data!B69</f>
        <v>763.04763924963061</v>
      </c>
      <c r="H7" s="195"/>
      <c r="I7" s="197">
        <f>(L_data!B$69-L_data!B$71)/L_data!B$71</f>
        <v>-2.9658253430788813E-2</v>
      </c>
      <c r="J7" s="204">
        <f>L_data!B$70</f>
        <v>63.587303270802551</v>
      </c>
      <c r="K7" s="240"/>
    </row>
    <row r="8" spans="1:11" ht="18" customHeight="1" thickBot="1" x14ac:dyDescent="0.25">
      <c r="B8" s="179" t="s">
        <v>2</v>
      </c>
      <c r="C8" s="98" t="str">
        <f>L_Summary_data!S16</f>
        <v>2.35 M</v>
      </c>
      <c r="D8" s="180" t="str">
        <f>L_Summary_data!G$4</f>
        <v>0.32 M</v>
      </c>
      <c r="F8" s="201"/>
      <c r="G8" s="218"/>
      <c r="H8" s="195"/>
      <c r="I8" s="197"/>
      <c r="J8" s="204"/>
      <c r="K8" s="240"/>
    </row>
    <row r="9" spans="1:11" ht="18" customHeight="1" thickBot="1" x14ac:dyDescent="0.25">
      <c r="B9" s="179" t="s">
        <v>176</v>
      </c>
      <c r="C9" s="181" t="str">
        <f>L_Summary_data!S6</f>
        <v>12.1 TB/day</v>
      </c>
      <c r="D9" s="181" t="str">
        <f>CONCATENATE(FIXED(L_Summary_data!$J$4,1), " TB/day")</f>
        <v>3.0 TB/day</v>
      </c>
      <c r="F9" s="191" t="s">
        <v>177</v>
      </c>
      <c r="G9" s="193">
        <f>L_data!B$123</f>
        <v>1975</v>
      </c>
      <c r="H9" s="195"/>
      <c r="I9" s="197">
        <f>(L_data!B$123-L_data!B$124)/L_data!B$124</f>
        <v>0.36583679114799444</v>
      </c>
      <c r="J9" s="199">
        <f>L_data!B$122</f>
        <v>338.25</v>
      </c>
      <c r="K9" s="240"/>
    </row>
    <row r="10" spans="1:11" ht="21" customHeight="1" thickBot="1" x14ac:dyDescent="0.25">
      <c r="B10" s="179" t="s">
        <v>178</v>
      </c>
      <c r="C10" s="98" t="str">
        <f>L_Summary_data!S18</f>
        <v>17.5 PB</v>
      </c>
      <c r="D10" s="182" t="str">
        <f>CONCATENATE(FIXED(L_Summary_data!$K$4,1), " PB")</f>
        <v>1.1 PB</v>
      </c>
      <c r="F10" s="201"/>
      <c r="G10" s="202"/>
      <c r="H10" s="195"/>
      <c r="I10" s="197"/>
      <c r="J10" s="199"/>
      <c r="K10" s="240"/>
    </row>
    <row r="11" spans="1:11" ht="18" customHeight="1" thickBot="1" x14ac:dyDescent="0.25">
      <c r="B11" s="183" t="s">
        <v>5</v>
      </c>
      <c r="C11" s="98" t="str">
        <f>L_Summary_data!S8</f>
        <v>1,512.9 M</v>
      </c>
      <c r="D11" s="180" t="str">
        <f>CONCATENATE(FIXED(L_Summary_data!$N$4,1), " M")</f>
        <v>76.3 M</v>
      </c>
      <c r="E11" s="5"/>
      <c r="F11" s="191" t="s">
        <v>77</v>
      </c>
      <c r="G11" s="193">
        <f>L_data!B$196</f>
        <v>185720</v>
      </c>
      <c r="H11" s="195"/>
      <c r="I11" s="197">
        <f>(L_data!B$196-L_data!B$197)/L_data!B$197</f>
        <v>-6.296197256292918E-2</v>
      </c>
      <c r="J11" s="199">
        <f>L_data!B$195</f>
        <v>16790.333333333332</v>
      </c>
      <c r="K11" s="240"/>
    </row>
    <row r="12" spans="1:11" ht="18" customHeight="1" thickBot="1" x14ac:dyDescent="0.25">
      <c r="B12" s="184" t="s">
        <v>6</v>
      </c>
      <c r="C12" s="182" t="str">
        <f>L_Summary_data!S9</f>
        <v>40.03 TB/day</v>
      </c>
      <c r="D12" s="182" t="str">
        <f>CONCATENATE(FIXED(L_Summary_data!$P$4,1), " TB/day")</f>
        <v>2.1 TB/day</v>
      </c>
      <c r="F12" s="192"/>
      <c r="G12" s="194"/>
      <c r="H12" s="196"/>
      <c r="I12" s="198"/>
      <c r="J12" s="200"/>
      <c r="K12" s="242"/>
    </row>
    <row r="13" spans="1:11" ht="30" customHeight="1" x14ac:dyDescent="0.2">
      <c r="B13" s="186" t="s">
        <v>179</v>
      </c>
      <c r="C13" s="187"/>
    </row>
    <row r="14" spans="1:11" ht="24.75" customHeight="1" x14ac:dyDescent="0.2">
      <c r="B14" s="185" t="s">
        <v>180</v>
      </c>
    </row>
    <row r="15" spans="1:11" ht="24.95" customHeight="1" x14ac:dyDescent="0.2"/>
    <row r="16" spans="1:11" ht="24" customHeight="1" x14ac:dyDescent="0.2"/>
    <row r="17" ht="24" customHeight="1" x14ac:dyDescent="0.2"/>
    <row r="18" ht="24" customHeight="1" x14ac:dyDescent="0.2"/>
    <row r="19" ht="24" customHeight="1" x14ac:dyDescent="0.2"/>
    <row r="20" ht="24" customHeight="1" x14ac:dyDescent="0.2"/>
    <row r="21" ht="24" customHeight="1" x14ac:dyDescent="0.2"/>
    <row r="22" ht="24" customHeight="1" x14ac:dyDescent="0.2"/>
    <row r="23" ht="24" customHeight="1" x14ac:dyDescent="0.2"/>
    <row r="24" ht="24" customHeight="1" x14ac:dyDescent="0.2"/>
    <row r="25" ht="10.9" customHeight="1" x14ac:dyDescent="0.2"/>
    <row r="26" ht="24" customHeight="1" x14ac:dyDescent="0.2"/>
    <row r="27" ht="24" customHeight="1" x14ac:dyDescent="0.2"/>
    <row r="28" ht="24" customHeight="1" x14ac:dyDescent="0.2"/>
    <row r="29" ht="24" customHeight="1" x14ac:dyDescent="0.2"/>
    <row r="30" ht="24" customHeight="1" x14ac:dyDescent="0.2"/>
    <row r="31" ht="24" customHeight="1" x14ac:dyDescent="0.2"/>
    <row r="32" ht="24" customHeight="1" x14ac:dyDescent="0.2"/>
    <row r="33" ht="24" customHeight="1" x14ac:dyDescent="0.2"/>
    <row r="34" ht="24" customHeight="1" x14ac:dyDescent="0.2"/>
    <row r="35" ht="30" customHeight="1" x14ac:dyDescent="0.2"/>
    <row r="36" ht="30" customHeight="1" x14ac:dyDescent="0.2"/>
  </sheetData>
  <dataConsolidate/>
  <mergeCells count="28">
    <mergeCell ref="K11:K12"/>
    <mergeCell ref="F9:F10"/>
    <mergeCell ref="G9:G10"/>
    <mergeCell ref="H9:H10"/>
    <mergeCell ref="I9:I10"/>
    <mergeCell ref="J9:J10"/>
    <mergeCell ref="K9:K10"/>
    <mergeCell ref="F11:F12"/>
    <mergeCell ref="G11:G12"/>
    <mergeCell ref="H11:H12"/>
    <mergeCell ref="I11:I12"/>
    <mergeCell ref="J11:J12"/>
    <mergeCell ref="K7:K8"/>
    <mergeCell ref="B1:K1"/>
    <mergeCell ref="B2:D2"/>
    <mergeCell ref="F2:K2"/>
    <mergeCell ref="F3:F4"/>
    <mergeCell ref="F5:F6"/>
    <mergeCell ref="G5:G6"/>
    <mergeCell ref="H5:H6"/>
    <mergeCell ref="I5:I6"/>
    <mergeCell ref="J5:J6"/>
    <mergeCell ref="K5:K6"/>
    <mergeCell ref="F7:F8"/>
    <mergeCell ref="G7:G8"/>
    <mergeCell ref="H7:H8"/>
    <mergeCell ref="I7:I8"/>
    <mergeCell ref="J7:J8"/>
  </mergeCells>
  <conditionalFormatting sqref="K7 K5">
    <cfRule type="dataBar" priority="3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{984C1B2A-4516-4CF4-9B7B-6A5830316BAB}</x14:id>
        </ext>
      </extLst>
    </cfRule>
  </conditionalFormatting>
  <conditionalFormatting sqref="K9">
    <cfRule type="dataBar" priority="3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{724AEEE0-7B7B-41CA-8505-F4284529BC10}</x14:id>
        </ext>
      </extLst>
    </cfRule>
  </conditionalFormatting>
  <conditionalFormatting sqref="K11">
    <cfRule type="dataBar" priority="3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{5C5BC03B-69EA-449E-9F18-3651440170E7}</x14:id>
        </ext>
      </extLst>
    </cfRule>
  </conditionalFormatting>
  <conditionalFormatting sqref="I7">
    <cfRule type="iconSet" priority="25">
      <iconSet iconSet="3Arrows">
        <cfvo type="percent" val="0"/>
        <cfvo type="num" val="-0.01"/>
        <cfvo type="num" val="0.01"/>
      </iconSet>
    </cfRule>
    <cfRule type="iconSet" priority="28">
      <iconSet showValue="0">
        <cfvo type="percent" val="0"/>
        <cfvo type="num" val="0.9"/>
        <cfvo type="num" val="0.95"/>
      </iconSet>
    </cfRule>
  </conditionalFormatting>
  <conditionalFormatting sqref="I7">
    <cfRule type="iconSet" priority="27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29">
      <iconSet>
        <cfvo type="percent" val="0"/>
        <cfvo type="percent" val="33"/>
        <cfvo type="percent" val="67"/>
      </iconSet>
    </cfRule>
    <cfRule type="iconSet" priority="30">
      <iconSet iconSet="4Arrows">
        <cfvo type="percent" val="0"/>
        <cfvo type="percent" val="25"/>
        <cfvo type="percent" val="50"/>
        <cfvo type="percentile" val="75"/>
      </iconSet>
    </cfRule>
    <cfRule type="iconSet" priority="31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32">
      <iconSet iconSet="3Arrows">
        <cfvo type="percent" val="0"/>
        <cfvo type="percent" val="33"/>
        <cfvo type="percent" val="67"/>
      </iconSet>
    </cfRule>
  </conditionalFormatting>
  <conditionalFormatting sqref="I7">
    <cfRule type="iconSet" priority="26">
      <iconSet iconSet="5Arrows">
        <cfvo type="percent" val="0"/>
        <cfvo type="num" val="-0.2"/>
        <cfvo type="num" val="-0.05"/>
        <cfvo type="num" val="0.05"/>
        <cfvo type="num" val="0.2"/>
      </iconSet>
    </cfRule>
  </conditionalFormatting>
  <conditionalFormatting sqref="I11">
    <cfRule type="iconSet" priority="17">
      <iconSet iconSet="3Arrows">
        <cfvo type="percent" val="0"/>
        <cfvo type="num" val="-0.01"/>
        <cfvo type="num" val="0.01"/>
      </iconSet>
    </cfRule>
    <cfRule type="iconSet" priority="20">
      <iconSet showValue="0">
        <cfvo type="percent" val="0"/>
        <cfvo type="num" val="0.9"/>
        <cfvo type="num" val="0.95"/>
      </iconSet>
    </cfRule>
  </conditionalFormatting>
  <conditionalFormatting sqref="I11">
    <cfRule type="iconSet" priority="19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21">
      <iconSet>
        <cfvo type="percent" val="0"/>
        <cfvo type="percent" val="33"/>
        <cfvo type="percent" val="67"/>
      </iconSet>
    </cfRule>
    <cfRule type="iconSet" priority="22">
      <iconSet iconSet="4Arrows">
        <cfvo type="percent" val="0"/>
        <cfvo type="percent" val="25"/>
        <cfvo type="percent" val="50"/>
        <cfvo type="percentile" val="75"/>
      </iconSet>
    </cfRule>
    <cfRule type="iconSet" priority="23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24">
      <iconSet iconSet="3Arrows">
        <cfvo type="percent" val="0"/>
        <cfvo type="percent" val="33"/>
        <cfvo type="percent" val="67"/>
      </iconSet>
    </cfRule>
  </conditionalFormatting>
  <conditionalFormatting sqref="I11">
    <cfRule type="iconSet" priority="18">
      <iconSet iconSet="5Arrows">
        <cfvo type="percent" val="0"/>
        <cfvo type="num" val="-0.2"/>
        <cfvo type="num" val="-0.05"/>
        <cfvo type="num" val="0.05"/>
        <cfvo type="num" val="0.2"/>
      </iconSet>
    </cfRule>
  </conditionalFormatting>
  <conditionalFormatting sqref="I9">
    <cfRule type="iconSet" priority="9">
      <iconSet iconSet="3Arrows">
        <cfvo type="percent" val="0"/>
        <cfvo type="num" val="-0.01"/>
        <cfvo type="num" val="0.01"/>
      </iconSet>
    </cfRule>
    <cfRule type="iconSet" priority="12">
      <iconSet showValue="0">
        <cfvo type="percent" val="0"/>
        <cfvo type="num" val="0.9"/>
        <cfvo type="num" val="0.95"/>
      </iconSet>
    </cfRule>
  </conditionalFormatting>
  <conditionalFormatting sqref="I9">
    <cfRule type="iconSet" priority="11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13">
      <iconSet>
        <cfvo type="percent" val="0"/>
        <cfvo type="percent" val="33"/>
        <cfvo type="percent" val="67"/>
      </iconSet>
    </cfRule>
    <cfRule type="iconSet" priority="14">
      <iconSet iconSet="4Arrows">
        <cfvo type="percent" val="0"/>
        <cfvo type="percent" val="25"/>
        <cfvo type="percent" val="50"/>
        <cfvo type="percentile" val="75"/>
      </iconSet>
    </cfRule>
    <cfRule type="iconSet" priority="15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16">
      <iconSet iconSet="3Arrows">
        <cfvo type="percent" val="0"/>
        <cfvo type="percent" val="33"/>
        <cfvo type="percent" val="67"/>
      </iconSet>
    </cfRule>
  </conditionalFormatting>
  <conditionalFormatting sqref="I9">
    <cfRule type="iconSet" priority="10">
      <iconSet iconSet="5Arrows">
        <cfvo type="percent" val="0"/>
        <cfvo type="num" val="-0.2"/>
        <cfvo type="num" val="-0.05"/>
        <cfvo type="num" val="0.05"/>
        <cfvo type="num" val="0.2"/>
      </iconSet>
    </cfRule>
  </conditionalFormatting>
  <conditionalFormatting sqref="I5">
    <cfRule type="iconSet" priority="1">
      <iconSet iconSet="3Arrows">
        <cfvo type="percent" val="0"/>
        <cfvo type="num" val="-0.01"/>
        <cfvo type="num" val="0.01"/>
      </iconSet>
    </cfRule>
    <cfRule type="iconSet" priority="4">
      <iconSet showValue="0">
        <cfvo type="percent" val="0"/>
        <cfvo type="num" val="0.9"/>
        <cfvo type="num" val="0.95"/>
      </iconSet>
    </cfRule>
  </conditionalFormatting>
  <conditionalFormatting sqref="I5">
    <cfRule type="iconSet" priority="3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5">
      <iconSet>
        <cfvo type="percent" val="0"/>
        <cfvo type="percent" val="33"/>
        <cfvo type="percent" val="67"/>
      </iconSet>
    </cfRule>
    <cfRule type="iconSet" priority="6">
      <iconSet iconSet="4Arrows">
        <cfvo type="percent" val="0"/>
        <cfvo type="percent" val="25"/>
        <cfvo type="percent" val="50"/>
        <cfvo type="percentile" val="75"/>
      </iconSet>
    </cfRule>
    <cfRule type="iconSet" priority="7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8">
      <iconSet iconSet="3Arrows">
        <cfvo type="percent" val="0"/>
        <cfvo type="percent" val="33"/>
        <cfvo type="percent" val="67"/>
      </iconSet>
    </cfRule>
  </conditionalFormatting>
  <conditionalFormatting sqref="I5">
    <cfRule type="iconSet" priority="2">
      <iconSet iconSet="5Arrows">
        <cfvo type="percent" val="0"/>
        <cfvo type="num" val="-0.2"/>
        <cfvo type="num" val="-0.05"/>
        <cfvo type="num" val="0.05"/>
        <cfvo type="num" val="0.2"/>
      </iconSet>
    </cfRule>
  </conditionalFormatting>
  <pageMargins left="0.75" right="0.75" top="1" bottom="1" header="0.5" footer="0.5"/>
  <pageSetup scale="75" orientation="landscape" r:id="rId1"/>
  <headerFooter alignWithMargins="0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984C1B2A-4516-4CF4-9B7B-6A5830316BAB}">
            <x14:dataBar minLength="0" maxLength="100" negativeBarColorSameAsPositive="1" axisPosition="none">
              <x14:cfvo type="min"/>
              <x14:cfvo type="max"/>
            </x14:dataBar>
          </x14:cfRule>
          <xm:sqref>K7 K5</xm:sqref>
        </x14:conditionalFormatting>
        <x14:conditionalFormatting xmlns:xm="http://schemas.microsoft.com/office/excel/2006/main">
          <x14:cfRule type="dataBar" id="{724AEEE0-7B7B-41CA-8505-F4284529BC10}">
            <x14:dataBar minLength="0" maxLength="100" negativeBarColorSameAsPositive="1" axisPosition="none">
              <x14:cfvo type="min"/>
              <x14:cfvo type="max"/>
            </x14:dataBar>
          </x14:cfRule>
          <xm:sqref>K9</xm:sqref>
        </x14:conditionalFormatting>
        <x14:conditionalFormatting xmlns:xm="http://schemas.microsoft.com/office/excel/2006/main">
          <x14:cfRule type="dataBar" id="{5C5BC03B-69EA-449E-9F18-3651440170E7}">
            <x14:dataBar minLength="0" maxLength="100" negativeBarColorSameAsPositive="1" axisPosition="none">
              <x14:cfvo type="min"/>
              <x14:cfvo type="max"/>
            </x14:dataBar>
          </x14:cfRule>
          <xm:sqref>K11</xm:sqref>
        </x14:conditionalFormatting>
      </x14:conditionalFormattings>
    </ext>
    <ext xmlns:x14="http://schemas.microsoft.com/office/spreadsheetml/2009/9/main" uri="{05C60535-1F16-4fd2-B633-F4F36F0B64E0}">
      <x14:sparklineGroups xmlns:xm="http://schemas.microsoft.com/office/excel/2006/main">
        <x14:sparklineGroup displayEmptyCellsAs="gap" high="1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L_data!B182:B193</xm:f>
              <xm:sqref>K11</xm:sqref>
            </x14:sparkline>
          </x14:sparklines>
        </x14:sparklineGroup>
        <x14:sparklineGroup displayEmptyCellsAs="gap" high="1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L_data!B109:B120</xm:f>
              <xm:sqref>K9</xm:sqref>
            </x14:sparkline>
          </x14:sparklines>
        </x14:sparklineGroup>
        <x14:sparklineGroup displayEmptyCellsAs="gap" high="1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L_data!B4:B15</xm:f>
              <xm:sqref>K5</xm:sqref>
            </x14:sparkline>
          </x14:sparklines>
        </x14:sparklineGroup>
        <x14:sparklineGroup displayEmptyCellsAs="gap" high="1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L_data!B57:B68</xm:f>
              <xm:sqref>K7</xm:sqref>
            </x14:sparkline>
          </x14:sparklines>
        </x14:sparklineGroup>
      </x14:sparklineGroup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W67"/>
  <sheetViews>
    <sheetView topLeftCell="F1" zoomScale="80" zoomScaleNormal="80" workbookViewId="0">
      <selection activeCell="T14" sqref="T14"/>
    </sheetView>
  </sheetViews>
  <sheetFormatPr defaultColWidth="8.85546875" defaultRowHeight="12.75" x14ac:dyDescent="0.2"/>
  <cols>
    <col min="1" max="2" width="6" customWidth="1"/>
    <col min="3" max="3" width="15.7109375" customWidth="1"/>
    <col min="4" max="4" width="22.42578125" customWidth="1"/>
    <col min="5" max="5" width="15.7109375" customWidth="1"/>
    <col min="6" max="6" width="20.140625" customWidth="1"/>
    <col min="7" max="7" width="13.28515625" customWidth="1"/>
    <col min="8" max="8" width="11.28515625" customWidth="1"/>
    <col min="9" max="9" width="13.28515625" customWidth="1"/>
    <col min="10" max="10" width="14.28515625" customWidth="1"/>
    <col min="11" max="11" width="11.28515625" customWidth="1"/>
    <col min="12" max="13" width="14.42578125" customWidth="1"/>
    <col min="14" max="14" width="12.85546875" customWidth="1"/>
    <col min="15" max="15" width="10.28515625" bestFit="1" customWidth="1"/>
    <col min="16" max="16" width="15" bestFit="1" customWidth="1"/>
    <col min="19" max="19" width="47.85546875" customWidth="1"/>
    <col min="20" max="20" width="41.140625" customWidth="1"/>
    <col min="23" max="23" width="19.140625" customWidth="1"/>
  </cols>
  <sheetData>
    <row r="1" spans="1:21" ht="39" customHeight="1" x14ac:dyDescent="0.2">
      <c r="C1" s="243" t="s">
        <v>86</v>
      </c>
      <c r="D1" s="243"/>
      <c r="E1" s="243"/>
      <c r="F1" s="243"/>
      <c r="G1" s="243"/>
      <c r="H1" s="243"/>
      <c r="I1" s="243"/>
      <c r="J1" s="243"/>
      <c r="K1" s="243"/>
      <c r="L1" s="243"/>
      <c r="M1" s="243"/>
      <c r="N1" s="243"/>
      <c r="O1" s="243"/>
      <c r="P1" s="243"/>
      <c r="S1" t="s">
        <v>143</v>
      </c>
    </row>
    <row r="2" spans="1:21" ht="42" customHeight="1" thickBot="1" x14ac:dyDescent="0.25"/>
    <row r="3" spans="1:21" ht="26.25" customHeight="1" thickBot="1" x14ac:dyDescent="0.25">
      <c r="C3" s="35" t="s">
        <v>46</v>
      </c>
      <c r="D3" s="36" t="s">
        <v>27</v>
      </c>
      <c r="E3" s="13" t="s">
        <v>23</v>
      </c>
      <c r="F3" s="36" t="s">
        <v>28</v>
      </c>
      <c r="G3" s="36" t="s">
        <v>24</v>
      </c>
      <c r="H3" s="36" t="s">
        <v>29</v>
      </c>
      <c r="I3" s="13" t="s">
        <v>123</v>
      </c>
      <c r="J3" s="13" t="s">
        <v>124</v>
      </c>
      <c r="K3" s="13" t="s">
        <v>30</v>
      </c>
      <c r="L3" s="13" t="s">
        <v>87</v>
      </c>
      <c r="M3" s="13" t="s">
        <v>121</v>
      </c>
      <c r="N3" s="46" t="s">
        <v>122</v>
      </c>
      <c r="O3" s="37" t="s">
        <v>31</v>
      </c>
      <c r="P3" s="37" t="s">
        <v>32</v>
      </c>
      <c r="Q3" s="37" t="s">
        <v>33</v>
      </c>
      <c r="S3" s="84" t="s">
        <v>80</v>
      </c>
      <c r="T3" s="85">
        <v>11140</v>
      </c>
    </row>
    <row r="4" spans="1:21" ht="13.5" thickBot="1" x14ac:dyDescent="0.25">
      <c r="C4" s="31" t="s">
        <v>7</v>
      </c>
      <c r="D4" s="38">
        <v>1003</v>
      </c>
      <c r="E4" s="38">
        <v>38903</v>
      </c>
      <c r="F4" s="38">
        <v>3755</v>
      </c>
      <c r="G4" s="38">
        <f>E4+F4</f>
        <v>42658</v>
      </c>
      <c r="H4" s="38">
        <v>55046</v>
      </c>
      <c r="I4" s="39">
        <v>20.842337000000001</v>
      </c>
      <c r="J4" s="39">
        <v>691.49</v>
      </c>
      <c r="K4" s="40">
        <f t="shared" ref="K4:K15" si="0">J4/366</f>
        <v>1.8893169398907104</v>
      </c>
      <c r="L4" s="39">
        <v>4159.7939453125</v>
      </c>
      <c r="M4" s="39">
        <v>640</v>
      </c>
      <c r="N4" s="41">
        <v>30.879339000000002</v>
      </c>
      <c r="O4" s="39">
        <f>$D30</f>
        <v>18.483861999999998</v>
      </c>
      <c r="P4" s="39">
        <f>$D55</f>
        <v>1315.178235138271</v>
      </c>
      <c r="Q4" s="40">
        <f t="shared" ref="Q4:Q15" si="1">P4/366</f>
        <v>3.5933831561154945</v>
      </c>
      <c r="S4" s="86" t="s">
        <v>1</v>
      </c>
      <c r="T4" s="87" t="s">
        <v>181</v>
      </c>
    </row>
    <row r="5" spans="1:21" ht="13.5" thickBot="1" x14ac:dyDescent="0.25">
      <c r="C5" s="31" t="s">
        <v>8</v>
      </c>
      <c r="D5" s="38">
        <v>97</v>
      </c>
      <c r="E5" s="38">
        <v>41371</v>
      </c>
      <c r="F5" s="38">
        <v>8919</v>
      </c>
      <c r="G5" s="38">
        <f t="shared" ref="G5:G14" si="2">E5+F5</f>
        <v>50290</v>
      </c>
      <c r="H5" s="38">
        <v>65720</v>
      </c>
      <c r="I5" s="39">
        <v>2.266432</v>
      </c>
      <c r="J5" s="39">
        <v>863.91934570312503</v>
      </c>
      <c r="K5" s="40">
        <f t="shared" si="0"/>
        <v>2.3604353707735655</v>
      </c>
      <c r="L5" s="39">
        <v>2656.0791894531249</v>
      </c>
      <c r="M5" s="39">
        <v>768.87744140625</v>
      </c>
      <c r="N5" s="41">
        <v>3.430615</v>
      </c>
      <c r="O5" s="39">
        <f>$E30</f>
        <v>5.1804249999999996</v>
      </c>
      <c r="P5" s="39">
        <f>$E55</f>
        <v>625.93828388214115</v>
      </c>
      <c r="Q5" s="40">
        <f t="shared" si="1"/>
        <v>1.7102138903883637</v>
      </c>
      <c r="S5" s="86" t="s">
        <v>81</v>
      </c>
      <c r="T5" s="88" t="s">
        <v>116</v>
      </c>
    </row>
    <row r="6" spans="1:21" ht="13.5" thickBot="1" x14ac:dyDescent="0.25">
      <c r="C6" s="31" t="s">
        <v>9</v>
      </c>
      <c r="D6" s="38">
        <v>231</v>
      </c>
      <c r="E6" s="38">
        <v>8640</v>
      </c>
      <c r="F6" s="38">
        <v>235396</v>
      </c>
      <c r="G6" s="38">
        <f t="shared" si="2"/>
        <v>244036</v>
      </c>
      <c r="H6" s="38">
        <v>10869</v>
      </c>
      <c r="I6" s="39">
        <v>28.416678999999998</v>
      </c>
      <c r="J6" s="39">
        <v>2.7561816406249999</v>
      </c>
      <c r="K6" s="40">
        <f t="shared" si="0"/>
        <v>7.5305509306693988E-3</v>
      </c>
      <c r="L6" s="39">
        <v>17.5</v>
      </c>
      <c r="M6" s="39">
        <v>2.7823339843750001</v>
      </c>
      <c r="N6" s="41">
        <v>25.571152000000001</v>
      </c>
      <c r="O6" s="39">
        <f>$F30</f>
        <v>316.508622</v>
      </c>
      <c r="P6" s="39">
        <f>$F55</f>
        <v>143.02083835122664</v>
      </c>
      <c r="Q6" s="40">
        <f t="shared" si="1"/>
        <v>0.39076731789952635</v>
      </c>
      <c r="S6" s="86" t="s">
        <v>82</v>
      </c>
      <c r="T6" s="87" t="s">
        <v>128</v>
      </c>
    </row>
    <row r="7" spans="1:21" ht="13.5" thickBot="1" x14ac:dyDescent="0.25">
      <c r="C7" s="31" t="s">
        <v>10</v>
      </c>
      <c r="D7" s="38">
        <v>2794</v>
      </c>
      <c r="E7" s="38">
        <v>128457</v>
      </c>
      <c r="F7" s="38">
        <v>230637</v>
      </c>
      <c r="G7" s="38">
        <f t="shared" si="2"/>
        <v>359094</v>
      </c>
      <c r="H7" s="38">
        <v>206088</v>
      </c>
      <c r="I7" s="39">
        <v>20.340782999999998</v>
      </c>
      <c r="J7" s="39">
        <v>654.13081054687495</v>
      </c>
      <c r="K7" s="40">
        <f t="shared" si="0"/>
        <v>1.7872426517674178</v>
      </c>
      <c r="L7" s="39">
        <v>1425.640654296875</v>
      </c>
      <c r="M7" s="39">
        <v>500.67380859374998</v>
      </c>
      <c r="N7" s="41">
        <v>10.627027999999999</v>
      </c>
      <c r="O7" s="39">
        <f>$G30</f>
        <v>409.16399200000001</v>
      </c>
      <c r="P7" s="39">
        <f>$G55</f>
        <v>4058.9668372702859</v>
      </c>
      <c r="Q7" s="40">
        <f t="shared" si="1"/>
        <v>11.090073325875098</v>
      </c>
      <c r="S7" s="86" t="s">
        <v>4</v>
      </c>
      <c r="T7" s="89" t="s">
        <v>117</v>
      </c>
    </row>
    <row r="8" spans="1:21" ht="13.5" thickBot="1" x14ac:dyDescent="0.25">
      <c r="C8" s="31" t="s">
        <v>11</v>
      </c>
      <c r="D8" s="38">
        <v>307</v>
      </c>
      <c r="E8" s="38">
        <v>12048</v>
      </c>
      <c r="F8" s="38">
        <v>1862</v>
      </c>
      <c r="G8" s="38">
        <f t="shared" si="2"/>
        <v>13910</v>
      </c>
      <c r="H8" s="38">
        <v>17347</v>
      </c>
      <c r="I8" s="39">
        <v>0.41497200000000001</v>
      </c>
      <c r="J8" s="39">
        <v>2.3901171875</v>
      </c>
      <c r="K8" s="40">
        <f t="shared" si="0"/>
        <v>6.5303748292349726E-3</v>
      </c>
      <c r="L8" s="39">
        <v>13.584150390625</v>
      </c>
      <c r="M8" s="39">
        <v>1.11349609375</v>
      </c>
      <c r="N8" s="41">
        <v>0.76175499999999996</v>
      </c>
      <c r="O8" s="39">
        <f>$H30</f>
        <v>3.9329890000000001</v>
      </c>
      <c r="P8" s="39">
        <f>$H55</f>
        <v>8.8443165346970822</v>
      </c>
      <c r="Q8" s="40">
        <f t="shared" si="1"/>
        <v>2.4164799275128639E-2</v>
      </c>
      <c r="S8" s="86" t="s">
        <v>5</v>
      </c>
      <c r="T8" s="90" t="s">
        <v>119</v>
      </c>
    </row>
    <row r="9" spans="1:21" ht="13.5" thickBot="1" x14ac:dyDescent="0.25">
      <c r="C9" s="33" t="s">
        <v>19</v>
      </c>
      <c r="D9" s="38">
        <v>497</v>
      </c>
      <c r="E9" s="38">
        <v>143345</v>
      </c>
      <c r="F9" s="38">
        <v>245628</v>
      </c>
      <c r="G9" s="38">
        <f t="shared" si="2"/>
        <v>388973</v>
      </c>
      <c r="H9" s="38">
        <v>189171</v>
      </c>
      <c r="I9" s="39">
        <v>48.637940999999998</v>
      </c>
      <c r="J9" s="39">
        <v>841.95802734375002</v>
      </c>
      <c r="K9" s="40">
        <f t="shared" si="0"/>
        <v>2.3004317686987705</v>
      </c>
      <c r="L9" s="39">
        <v>2933.262939453125</v>
      </c>
      <c r="M9" s="39">
        <v>1649.6575292968751</v>
      </c>
      <c r="N9" s="41">
        <v>59.761755000000001</v>
      </c>
      <c r="O9" s="39">
        <f>$I30</f>
        <v>174.59097600000001</v>
      </c>
      <c r="P9" s="39">
        <f>$I55</f>
        <v>2501.0258962979528</v>
      </c>
      <c r="Q9" s="40">
        <f t="shared" si="1"/>
        <v>6.8334040882457732</v>
      </c>
      <c r="S9" s="86" t="s">
        <v>83</v>
      </c>
      <c r="T9" s="87" t="s">
        <v>118</v>
      </c>
    </row>
    <row r="10" spans="1:21" x14ac:dyDescent="0.2">
      <c r="C10" s="33" t="s">
        <v>12</v>
      </c>
      <c r="D10" s="38">
        <v>1521</v>
      </c>
      <c r="E10" s="38">
        <v>220035</v>
      </c>
      <c r="F10" s="38">
        <v>241843</v>
      </c>
      <c r="G10" s="38">
        <f t="shared" si="2"/>
        <v>461878</v>
      </c>
      <c r="H10" s="38">
        <v>412847</v>
      </c>
      <c r="I10" s="39">
        <v>124.901492</v>
      </c>
      <c r="J10" s="39">
        <v>1158.8829199218751</v>
      </c>
      <c r="K10" s="40">
        <f t="shared" si="0"/>
        <v>3.1663467757428281</v>
      </c>
      <c r="L10" s="39">
        <v>6075.106201171875</v>
      </c>
      <c r="M10" s="39">
        <v>2193.3786718749998</v>
      </c>
      <c r="N10" s="41">
        <v>189.896646</v>
      </c>
      <c r="O10" s="39">
        <f>$J30</f>
        <v>230.71311800000001</v>
      </c>
      <c r="P10" s="39">
        <f>$J55</f>
        <v>2935.5405872167821</v>
      </c>
      <c r="Q10" s="40">
        <f t="shared" si="1"/>
        <v>8.0206026973136115</v>
      </c>
    </row>
    <row r="11" spans="1:21" x14ac:dyDescent="0.2">
      <c r="C11" s="33" t="s">
        <v>13</v>
      </c>
      <c r="D11" s="38">
        <v>644</v>
      </c>
      <c r="E11" s="38">
        <v>524620</v>
      </c>
      <c r="F11" s="38">
        <v>14339</v>
      </c>
      <c r="G11" s="38">
        <f t="shared" si="2"/>
        <v>538959</v>
      </c>
      <c r="H11" s="38">
        <v>766328</v>
      </c>
      <c r="I11" s="39">
        <v>17.457996999999999</v>
      </c>
      <c r="J11" s="39">
        <v>108.75025390624999</v>
      </c>
      <c r="K11" s="40">
        <f t="shared" si="0"/>
        <v>0.29713184127390707</v>
      </c>
      <c r="L11" s="39">
        <v>277.42061523437502</v>
      </c>
      <c r="M11" s="39">
        <v>59.974111328124998</v>
      </c>
      <c r="N11" s="41">
        <v>16.636619</v>
      </c>
      <c r="O11" s="39">
        <f>$K30</f>
        <v>82.185432000000006</v>
      </c>
      <c r="P11" s="39">
        <f>$K55</f>
        <v>262.98465774811689</v>
      </c>
      <c r="Q11" s="40">
        <f t="shared" si="1"/>
        <v>0.71853731625168549</v>
      </c>
    </row>
    <row r="12" spans="1:21" ht="13.5" thickBot="1" x14ac:dyDescent="0.25">
      <c r="C12" s="33" t="s">
        <v>25</v>
      </c>
      <c r="D12" s="38">
        <v>172</v>
      </c>
      <c r="E12" s="38"/>
      <c r="F12" s="38">
        <v>37578</v>
      </c>
      <c r="G12" s="38">
        <f t="shared" si="2"/>
        <v>37578</v>
      </c>
      <c r="H12" s="38"/>
      <c r="I12" s="39"/>
      <c r="J12" s="39"/>
      <c r="K12" s="40">
        <f t="shared" si="0"/>
        <v>0</v>
      </c>
      <c r="L12" s="39"/>
      <c r="M12" s="39"/>
      <c r="N12" s="41"/>
      <c r="O12" s="39">
        <f>$L30</f>
        <v>65.432243</v>
      </c>
      <c r="P12" s="39">
        <f>$L55</f>
        <v>1479.5026629857307</v>
      </c>
      <c r="Q12" s="40">
        <f t="shared" si="1"/>
        <v>4.0423570026932536</v>
      </c>
    </row>
    <row r="13" spans="1:21" ht="13.5" thickBot="1" x14ac:dyDescent="0.25">
      <c r="C13" s="33" t="s">
        <v>14</v>
      </c>
      <c r="D13" s="38">
        <v>1243</v>
      </c>
      <c r="E13" s="38">
        <v>23530</v>
      </c>
      <c r="F13" s="38">
        <v>16641</v>
      </c>
      <c r="G13" s="38">
        <f t="shared" si="2"/>
        <v>40171</v>
      </c>
      <c r="H13" s="38">
        <v>31846</v>
      </c>
      <c r="I13" s="39">
        <v>2.3674650000000002</v>
      </c>
      <c r="J13" s="39">
        <v>13.6337890625</v>
      </c>
      <c r="K13" s="40">
        <f t="shared" si="0"/>
        <v>3.7250789788251366E-2</v>
      </c>
      <c r="L13" s="39">
        <v>197.0810546875</v>
      </c>
      <c r="M13" s="39">
        <v>5.54349609375</v>
      </c>
      <c r="N13" s="41">
        <v>0.34894500000000001</v>
      </c>
      <c r="O13" s="39">
        <f>$M30</f>
        <v>31.550469</v>
      </c>
      <c r="P13" s="39">
        <f>$M55</f>
        <v>71.654050646128539</v>
      </c>
      <c r="Q13" s="40">
        <f t="shared" si="1"/>
        <v>0.19577609466155338</v>
      </c>
      <c r="S13" s="84" t="s">
        <v>80</v>
      </c>
      <c r="T13" s="85">
        <v>11140</v>
      </c>
    </row>
    <row r="14" spans="1:21" ht="13.5" thickBot="1" x14ac:dyDescent="0.25">
      <c r="C14" s="33" t="s">
        <v>17</v>
      </c>
      <c r="D14" s="38">
        <v>2026</v>
      </c>
      <c r="E14" s="38">
        <v>25158</v>
      </c>
      <c r="F14" s="38">
        <v>32636</v>
      </c>
      <c r="G14" s="38">
        <f t="shared" si="2"/>
        <v>57794</v>
      </c>
      <c r="H14" s="38">
        <v>36216</v>
      </c>
      <c r="I14" s="39">
        <v>4.1796350000000002</v>
      </c>
      <c r="J14" s="39">
        <v>77.763984375000007</v>
      </c>
      <c r="K14" s="40">
        <f t="shared" si="0"/>
        <v>0.21246990266393445</v>
      </c>
      <c r="L14" s="39">
        <v>164.003359375</v>
      </c>
      <c r="M14" s="39">
        <v>33.747685546874997</v>
      </c>
      <c r="N14" s="41">
        <v>2.098821</v>
      </c>
      <c r="O14" s="39">
        <f>$N30</f>
        <v>93.017982000000003</v>
      </c>
      <c r="P14" s="39">
        <f>$N55</f>
        <v>481.28024073248207</v>
      </c>
      <c r="Q14" s="40">
        <f t="shared" si="1"/>
        <v>1.3149733353346504</v>
      </c>
      <c r="S14" s="86" t="s">
        <v>1</v>
      </c>
      <c r="T14" s="88">
        <v>3210968</v>
      </c>
    </row>
    <row r="15" spans="1:21" ht="13.5" thickBot="1" x14ac:dyDescent="0.25">
      <c r="C15" s="33" t="s">
        <v>15</v>
      </c>
      <c r="D15" s="38">
        <v>253</v>
      </c>
      <c r="E15" s="38">
        <v>72917</v>
      </c>
      <c r="F15" s="38">
        <v>580894</v>
      </c>
      <c r="G15" s="38">
        <f>E15+F15</f>
        <v>653811</v>
      </c>
      <c r="H15" s="38">
        <v>88746</v>
      </c>
      <c r="I15" s="39">
        <v>4.1999999999999998E-5</v>
      </c>
      <c r="J15" s="39">
        <v>0.35462890624999999</v>
      </c>
      <c r="K15" s="40">
        <f t="shared" si="0"/>
        <v>9.6893143784152998E-4</v>
      </c>
      <c r="L15" s="39">
        <v>3.7205468750000001</v>
      </c>
      <c r="M15" s="39">
        <v>6.6406249999999998E-3</v>
      </c>
      <c r="N15" s="41">
        <v>2.0999999999999999E-5</v>
      </c>
      <c r="O15" s="39">
        <f>$O30</f>
        <v>5.7873919999999996</v>
      </c>
      <c r="P15" s="39">
        <f>$O55</f>
        <v>2.8853466487826123</v>
      </c>
      <c r="Q15" s="40">
        <f t="shared" si="1"/>
        <v>7.8834607890235307E-3</v>
      </c>
      <c r="S15" s="86" t="s">
        <v>81</v>
      </c>
      <c r="T15" s="88">
        <v>2351536</v>
      </c>
    </row>
    <row r="16" spans="1:21" s="3" customFormat="1" ht="13.5" thickBot="1" x14ac:dyDescent="0.25">
      <c r="A16"/>
      <c r="B16"/>
      <c r="C16" s="34" t="s">
        <v>16</v>
      </c>
      <c r="D16" s="10">
        <f>SUM(D4:D15)</f>
        <v>10788</v>
      </c>
      <c r="E16" s="10">
        <f>SUM(E4:E15)</f>
        <v>1239024</v>
      </c>
      <c r="F16" s="10">
        <f t="shared" ref="F16:H16" si="3">SUM(F4:F15)</f>
        <v>1650128</v>
      </c>
      <c r="G16" s="10">
        <f t="shared" si="3"/>
        <v>2889152</v>
      </c>
      <c r="H16" s="10">
        <f t="shared" si="3"/>
        <v>1880224</v>
      </c>
      <c r="I16" s="11">
        <f>SUM(I4:I15)</f>
        <v>269.82577500000002</v>
      </c>
      <c r="J16" s="11">
        <f>SUM(J4:J15)</f>
        <v>4416.0300585937503</v>
      </c>
      <c r="K16" s="12">
        <f t="shared" ref="K16" si="4">J16/365</f>
        <v>12.098712489297945</v>
      </c>
      <c r="L16" s="11">
        <f>SUM(L4:L15)</f>
        <v>17923.192656250001</v>
      </c>
      <c r="M16" s="11">
        <f t="shared" ref="M16:N16" si="5">SUM(M4:M15)</f>
        <v>5855.7552148437499</v>
      </c>
      <c r="N16" s="11">
        <f t="shared" si="5"/>
        <v>340.01269600000001</v>
      </c>
      <c r="O16" s="11">
        <f>SUM(O4:O15)</f>
        <v>1436.5475020000001</v>
      </c>
      <c r="P16" s="11">
        <f>SUM(P4:P15)</f>
        <v>13886.821953452594</v>
      </c>
      <c r="S16" s="86" t="s">
        <v>82</v>
      </c>
      <c r="T16" s="87" t="s">
        <v>127</v>
      </c>
      <c r="U16"/>
    </row>
    <row r="17" spans="1:23" s="3" customFormat="1" ht="13.5" thickBot="1" x14ac:dyDescent="0.25">
      <c r="A17"/>
      <c r="B17"/>
      <c r="K17" s="14"/>
      <c r="L17" s="11"/>
      <c r="M17" s="11"/>
      <c r="S17" s="86" t="s">
        <v>4</v>
      </c>
      <c r="T17" s="89" t="s">
        <v>125</v>
      </c>
      <c r="U17"/>
    </row>
    <row r="18" spans="1:23" s="3" customFormat="1" ht="13.5" thickBot="1" x14ac:dyDescent="0.25">
      <c r="A18"/>
      <c r="B18"/>
      <c r="S18" s="86" t="s">
        <v>5</v>
      </c>
      <c r="T18" s="90" t="s">
        <v>119</v>
      </c>
      <c r="U18"/>
    </row>
    <row r="19" spans="1:23" ht="13.5" thickBot="1" x14ac:dyDescent="0.25">
      <c r="C19" s="70" t="s">
        <v>76</v>
      </c>
      <c r="H19" s="3"/>
      <c r="I19" s="3"/>
      <c r="K19" s="3"/>
      <c r="L19" s="3"/>
      <c r="M19" s="3"/>
      <c r="S19" s="86" t="s">
        <v>83</v>
      </c>
      <c r="T19" s="87" t="s">
        <v>126</v>
      </c>
    </row>
    <row r="20" spans="1:23" x14ac:dyDescent="0.2">
      <c r="C20" t="s">
        <v>57</v>
      </c>
      <c r="D20" s="31" t="s">
        <v>7</v>
      </c>
      <c r="E20" s="31" t="s">
        <v>8</v>
      </c>
      <c r="F20" s="31" t="s">
        <v>9</v>
      </c>
      <c r="G20" s="31" t="s">
        <v>10</v>
      </c>
      <c r="H20" s="31" t="s">
        <v>11</v>
      </c>
      <c r="I20" s="33" t="s">
        <v>19</v>
      </c>
      <c r="J20" s="33" t="s">
        <v>12</v>
      </c>
      <c r="K20" s="33" t="s">
        <v>13</v>
      </c>
      <c r="L20" s="33" t="s">
        <v>25</v>
      </c>
      <c r="M20" s="33" t="s">
        <v>14</v>
      </c>
      <c r="N20" s="33" t="s">
        <v>17</v>
      </c>
      <c r="O20" s="33" t="s">
        <v>15</v>
      </c>
      <c r="P20" s="34" t="s">
        <v>16</v>
      </c>
      <c r="R20" s="83"/>
    </row>
    <row r="21" spans="1:23" x14ac:dyDescent="0.2">
      <c r="C21" s="47" t="s">
        <v>69</v>
      </c>
      <c r="D21" s="67">
        <f t="shared" ref="D21:O21" si="6">D33/1000000</f>
        <v>0</v>
      </c>
      <c r="E21" s="67">
        <f t="shared" si="6"/>
        <v>0</v>
      </c>
      <c r="F21" s="67">
        <f t="shared" si="6"/>
        <v>0</v>
      </c>
      <c r="G21" s="67">
        <f t="shared" si="6"/>
        <v>22.917339999999999</v>
      </c>
      <c r="H21" s="67">
        <f t="shared" si="6"/>
        <v>0</v>
      </c>
      <c r="I21" s="67">
        <f t="shared" si="6"/>
        <v>0.148617</v>
      </c>
      <c r="J21" s="67">
        <f t="shared" si="6"/>
        <v>33.570419000000001</v>
      </c>
      <c r="K21" s="67">
        <f t="shared" si="6"/>
        <v>0.64234100000000005</v>
      </c>
      <c r="L21" s="67">
        <f t="shared" si="6"/>
        <v>0</v>
      </c>
      <c r="M21" s="67">
        <f t="shared" si="6"/>
        <v>0</v>
      </c>
      <c r="N21" s="67">
        <f t="shared" si="6"/>
        <v>0</v>
      </c>
      <c r="O21" s="67">
        <f t="shared" si="6"/>
        <v>0</v>
      </c>
      <c r="P21" s="67">
        <f t="shared" ref="P21" si="7">SUM(D21:O21)</f>
        <v>57.278717</v>
      </c>
    </row>
    <row r="22" spans="1:23" x14ac:dyDescent="0.2">
      <c r="C22" s="47" t="s">
        <v>47</v>
      </c>
      <c r="D22" s="67">
        <f t="shared" ref="D22:O22" si="8">D34/1000000</f>
        <v>3.5718839999999998</v>
      </c>
      <c r="E22" s="67">
        <f t="shared" si="8"/>
        <v>0.30386999999999997</v>
      </c>
      <c r="F22" s="67">
        <f t="shared" si="8"/>
        <v>0</v>
      </c>
      <c r="G22" s="67">
        <f t="shared" si="8"/>
        <v>38.747579999999999</v>
      </c>
      <c r="H22" s="67">
        <f t="shared" si="8"/>
        <v>10.177527</v>
      </c>
      <c r="I22" s="67">
        <f t="shared" si="8"/>
        <v>16.757476</v>
      </c>
      <c r="J22" s="67">
        <f t="shared" si="8"/>
        <v>47.736139999999999</v>
      </c>
      <c r="K22" s="67">
        <f t="shared" si="8"/>
        <v>10.732725</v>
      </c>
      <c r="L22" s="67">
        <f t="shared" si="8"/>
        <v>10.672893999999999</v>
      </c>
      <c r="M22" s="67">
        <f t="shared" si="8"/>
        <v>0.39932299999999998</v>
      </c>
      <c r="N22" s="67">
        <f t="shared" si="8"/>
        <v>16.487646000000002</v>
      </c>
      <c r="O22" s="67">
        <f t="shared" si="8"/>
        <v>7.4131000000000002E-2</v>
      </c>
      <c r="P22" s="67">
        <f>SUM(D22:O22)</f>
        <v>155.66119599999999</v>
      </c>
    </row>
    <row r="23" spans="1:23" x14ac:dyDescent="0.2">
      <c r="C23" s="47" t="s">
        <v>48</v>
      </c>
      <c r="D23" s="67">
        <f t="shared" ref="D23:O23" si="9">D35/1000000</f>
        <v>5.1073000000000004</v>
      </c>
      <c r="E23" s="67">
        <f t="shared" si="9"/>
        <v>0.47285700000000003</v>
      </c>
      <c r="F23" s="67">
        <f t="shared" si="9"/>
        <v>37.058059999999998</v>
      </c>
      <c r="G23" s="67">
        <f t="shared" si="9"/>
        <v>54.500664</v>
      </c>
      <c r="H23" s="67">
        <f t="shared" si="9"/>
        <v>5.6774750000000003</v>
      </c>
      <c r="I23" s="67">
        <f t="shared" si="9"/>
        <v>38.827043000000003</v>
      </c>
      <c r="J23" s="67">
        <f t="shared" si="9"/>
        <v>47.205446000000002</v>
      </c>
      <c r="K23" s="67">
        <f t="shared" si="9"/>
        <v>17.247733</v>
      </c>
      <c r="L23" s="67">
        <f t="shared" si="9"/>
        <v>8.655132</v>
      </c>
      <c r="M23" s="67">
        <f t="shared" si="9"/>
        <v>7.6994199999999999</v>
      </c>
      <c r="N23" s="67">
        <f t="shared" si="9"/>
        <v>31.722079000000001</v>
      </c>
      <c r="O23" s="67">
        <f t="shared" si="9"/>
        <v>0.49062</v>
      </c>
      <c r="P23" s="67">
        <f t="shared" ref="P23:P29" si="10">SUM(D23:O23)</f>
        <v>254.66382900000002</v>
      </c>
    </row>
    <row r="24" spans="1:23" x14ac:dyDescent="0.2">
      <c r="C24" s="47" t="s">
        <v>49</v>
      </c>
      <c r="D24" s="67">
        <f t="shared" ref="D24:O24" si="11">D36/1000000</f>
        <v>4.4062020000000004</v>
      </c>
      <c r="E24" s="67">
        <f t="shared" si="11"/>
        <v>0.101671</v>
      </c>
      <c r="F24" s="67">
        <f t="shared" si="11"/>
        <v>52.599871</v>
      </c>
      <c r="G24" s="67">
        <f t="shared" si="11"/>
        <v>84.223157999999998</v>
      </c>
      <c r="H24" s="67">
        <f t="shared" si="11"/>
        <v>0.65940500000000002</v>
      </c>
      <c r="I24" s="67">
        <f t="shared" si="11"/>
        <v>51.945273</v>
      </c>
      <c r="J24" s="67">
        <f t="shared" si="11"/>
        <v>79.756398000000004</v>
      </c>
      <c r="K24" s="67">
        <f t="shared" si="11"/>
        <v>22.897912999999999</v>
      </c>
      <c r="L24" s="67">
        <f t="shared" si="11"/>
        <v>12.42596</v>
      </c>
      <c r="M24" s="67">
        <f t="shared" si="11"/>
        <v>49.882874999999999</v>
      </c>
      <c r="N24" s="67">
        <f t="shared" si="11"/>
        <v>50.334622000000003</v>
      </c>
      <c r="O24" s="67">
        <f t="shared" si="11"/>
        <v>3.5663849999999999</v>
      </c>
      <c r="P24" s="67">
        <f t="shared" si="10"/>
        <v>412.799733</v>
      </c>
    </row>
    <row r="25" spans="1:23" x14ac:dyDescent="0.2">
      <c r="C25" s="47" t="s">
        <v>50</v>
      </c>
      <c r="D25" s="67">
        <f t="shared" ref="D25:O25" si="12">D37/1000000</f>
        <v>5.042249</v>
      </c>
      <c r="E25" s="67">
        <f t="shared" si="12"/>
        <v>0.36860900000000002</v>
      </c>
      <c r="F25" s="67">
        <f t="shared" si="12"/>
        <v>112.330657</v>
      </c>
      <c r="G25" s="67">
        <f t="shared" si="12"/>
        <v>133.841386</v>
      </c>
      <c r="H25" s="67">
        <f t="shared" si="12"/>
        <v>0.72013300000000002</v>
      </c>
      <c r="I25" s="67">
        <f t="shared" si="12"/>
        <v>63.965963000000002</v>
      </c>
      <c r="J25" s="67">
        <f t="shared" si="12"/>
        <v>98.766036999999997</v>
      </c>
      <c r="K25" s="67">
        <f t="shared" si="12"/>
        <v>20.180631999999999</v>
      </c>
      <c r="L25" s="67">
        <f t="shared" si="12"/>
        <v>20.538207</v>
      </c>
      <c r="M25" s="67">
        <f t="shared" si="12"/>
        <v>3.194725</v>
      </c>
      <c r="N25" s="67">
        <f t="shared" si="12"/>
        <v>38.272939999999998</v>
      </c>
      <c r="O25" s="67">
        <f t="shared" si="12"/>
        <v>4.1586509999999999</v>
      </c>
      <c r="P25" s="67">
        <f t="shared" si="10"/>
        <v>501.38018900000003</v>
      </c>
      <c r="W25" s="65"/>
    </row>
    <row r="26" spans="1:23" x14ac:dyDescent="0.2">
      <c r="C26" s="47" t="s">
        <v>51</v>
      </c>
      <c r="D26" s="67">
        <f t="shared" ref="D26:O26" si="13">D38/1000000</f>
        <v>10.626249</v>
      </c>
      <c r="E26" s="67">
        <f t="shared" si="13"/>
        <v>0.846248</v>
      </c>
      <c r="F26" s="67">
        <f t="shared" si="13"/>
        <v>120.025964</v>
      </c>
      <c r="G26" s="67">
        <f t="shared" si="13"/>
        <v>168.67674700000001</v>
      </c>
      <c r="H26" s="67">
        <f t="shared" si="13"/>
        <v>0.79108500000000004</v>
      </c>
      <c r="I26" s="67">
        <f t="shared" si="13"/>
        <v>70.588599000000002</v>
      </c>
      <c r="J26" s="67">
        <f t="shared" si="13"/>
        <v>95.246110000000002</v>
      </c>
      <c r="K26" s="67">
        <f t="shared" si="13"/>
        <v>24.339347</v>
      </c>
      <c r="L26" s="67">
        <f t="shared" si="13"/>
        <v>16.768246000000001</v>
      </c>
      <c r="M26" s="67">
        <f t="shared" si="13"/>
        <v>6.7061929999999998</v>
      </c>
      <c r="N26" s="67">
        <f t="shared" si="13"/>
        <v>54.068233999999997</v>
      </c>
      <c r="O26" s="67">
        <f t="shared" si="13"/>
        <v>1.5993269999999999</v>
      </c>
      <c r="P26" s="67">
        <f t="shared" si="10"/>
        <v>570.28234899999995</v>
      </c>
    </row>
    <row r="27" spans="1:23" x14ac:dyDescent="0.2">
      <c r="C27" s="47" t="s">
        <v>52</v>
      </c>
      <c r="D27" s="67">
        <f t="shared" ref="D27:O27" si="14">D39/1000000</f>
        <v>10.212370999999999</v>
      </c>
      <c r="E27" s="67">
        <f t="shared" si="14"/>
        <v>0.67360799999999998</v>
      </c>
      <c r="F27" s="67">
        <f t="shared" si="14"/>
        <v>120.930572</v>
      </c>
      <c r="G27" s="67">
        <f t="shared" si="14"/>
        <v>209.906859</v>
      </c>
      <c r="H27" s="67">
        <f t="shared" si="14"/>
        <v>4.4349480000000003</v>
      </c>
      <c r="I27" s="67">
        <f t="shared" si="14"/>
        <v>111.743424</v>
      </c>
      <c r="J27" s="67">
        <f t="shared" si="14"/>
        <v>135.28649799999999</v>
      </c>
      <c r="K27" s="67">
        <f t="shared" si="14"/>
        <v>38.223084999999998</v>
      </c>
      <c r="L27" s="67">
        <f t="shared" si="14"/>
        <v>18.293759999999999</v>
      </c>
      <c r="M27" s="67">
        <f t="shared" si="14"/>
        <v>5.756697</v>
      </c>
      <c r="N27" s="67">
        <f t="shared" si="14"/>
        <v>89.251096000000004</v>
      </c>
      <c r="O27" s="67">
        <f t="shared" si="14"/>
        <v>4.6872220000000002</v>
      </c>
      <c r="P27" s="67">
        <f t="shared" si="10"/>
        <v>749.40014000000008</v>
      </c>
    </row>
    <row r="28" spans="1:23" x14ac:dyDescent="0.2">
      <c r="C28" s="47" t="s">
        <v>53</v>
      </c>
      <c r="D28" s="67">
        <f t="shared" ref="D28:O30" si="15">D40/1000000</f>
        <v>15.472293000000001</v>
      </c>
      <c r="E28" s="67">
        <f t="shared" si="15"/>
        <v>1.1101460000000001</v>
      </c>
      <c r="F28" s="67">
        <f t="shared" si="15"/>
        <v>144.29374799999999</v>
      </c>
      <c r="G28" s="67">
        <f t="shared" si="15"/>
        <v>283.25595800000002</v>
      </c>
      <c r="H28" s="67">
        <f t="shared" si="15"/>
        <v>4.4983519999999997</v>
      </c>
      <c r="I28" s="67">
        <f t="shared" si="15"/>
        <v>127.080485</v>
      </c>
      <c r="J28" s="67">
        <f t="shared" si="15"/>
        <v>196.13767899999999</v>
      </c>
      <c r="K28" s="67">
        <f t="shared" si="15"/>
        <v>67.730322000000001</v>
      </c>
      <c r="L28" s="67">
        <f t="shared" si="15"/>
        <v>27.464272000000001</v>
      </c>
      <c r="M28" s="67">
        <f t="shared" si="15"/>
        <v>13.607626</v>
      </c>
      <c r="N28" s="67">
        <f t="shared" si="15"/>
        <v>71.263045000000005</v>
      </c>
      <c r="O28" s="67">
        <f t="shared" si="15"/>
        <v>6.3922129999999999</v>
      </c>
      <c r="P28" s="67">
        <f t="shared" si="10"/>
        <v>958.30613900000003</v>
      </c>
    </row>
    <row r="29" spans="1:23" x14ac:dyDescent="0.2">
      <c r="C29" s="47" t="s">
        <v>55</v>
      </c>
      <c r="D29" s="67">
        <f t="shared" si="15"/>
        <v>15.943277</v>
      </c>
      <c r="E29" s="67">
        <f t="shared" si="15"/>
        <v>2.0008599999999999</v>
      </c>
      <c r="F29" s="67">
        <f t="shared" si="15"/>
        <v>172.03639100000001</v>
      </c>
      <c r="G29" s="67">
        <f t="shared" si="15"/>
        <v>405.060654</v>
      </c>
      <c r="H29" s="67">
        <f t="shared" si="15"/>
        <v>6.3843249999999996</v>
      </c>
      <c r="I29" s="67">
        <f t="shared" si="15"/>
        <v>163.27644599999999</v>
      </c>
      <c r="J29" s="67">
        <f t="shared" si="15"/>
        <v>360.64454699999999</v>
      </c>
      <c r="K29" s="67">
        <f t="shared" si="15"/>
        <v>70.647366000000005</v>
      </c>
      <c r="L29" s="67">
        <f t="shared" si="15"/>
        <v>56.956518000000003</v>
      </c>
      <c r="M29" s="67">
        <f t="shared" si="15"/>
        <v>13.084823</v>
      </c>
      <c r="N29" s="67">
        <f t="shared" si="15"/>
        <v>77.176446999999996</v>
      </c>
      <c r="O29" s="67">
        <f t="shared" si="15"/>
        <v>7.6517379999999999</v>
      </c>
      <c r="P29" s="67">
        <f t="shared" si="10"/>
        <v>1350.863392</v>
      </c>
    </row>
    <row r="30" spans="1:23" x14ac:dyDescent="0.2">
      <c r="C30" s="47" t="s">
        <v>120</v>
      </c>
      <c r="D30" s="67">
        <f t="shared" si="15"/>
        <v>18.483861999999998</v>
      </c>
      <c r="E30" s="67">
        <f t="shared" si="15"/>
        <v>5.1804249999999996</v>
      </c>
      <c r="F30" s="67">
        <f t="shared" si="15"/>
        <v>316.508622</v>
      </c>
      <c r="G30" s="67">
        <f t="shared" si="15"/>
        <v>409.16399200000001</v>
      </c>
      <c r="H30" s="67">
        <f t="shared" si="15"/>
        <v>3.9329890000000001</v>
      </c>
      <c r="I30" s="67">
        <f t="shared" si="15"/>
        <v>174.59097600000001</v>
      </c>
      <c r="J30" s="67">
        <f t="shared" si="15"/>
        <v>230.71311800000001</v>
      </c>
      <c r="K30" s="67">
        <f t="shared" si="15"/>
        <v>82.185432000000006</v>
      </c>
      <c r="L30" s="67">
        <f t="shared" si="15"/>
        <v>65.432243</v>
      </c>
      <c r="M30" s="67">
        <f t="shared" si="15"/>
        <v>31.550469</v>
      </c>
      <c r="N30" s="67">
        <f t="shared" si="15"/>
        <v>93.017982000000003</v>
      </c>
      <c r="O30" s="67">
        <f t="shared" si="15"/>
        <v>5.7873919999999996</v>
      </c>
      <c r="P30" s="67">
        <f t="shared" ref="P30" si="16">SUM(D30:O30)</f>
        <v>1436.5475020000001</v>
      </c>
    </row>
    <row r="31" spans="1:23" x14ac:dyDescent="0.2">
      <c r="C31" s="70" t="s">
        <v>75</v>
      </c>
      <c r="H31" s="3"/>
      <c r="I31" s="3"/>
      <c r="K31" s="3"/>
      <c r="L31" s="3"/>
      <c r="M31" s="3"/>
    </row>
    <row r="32" spans="1:23" x14ac:dyDescent="0.2">
      <c r="C32" t="s">
        <v>57</v>
      </c>
      <c r="D32" s="31" t="s">
        <v>7</v>
      </c>
      <c r="E32" s="31" t="s">
        <v>8</v>
      </c>
      <c r="F32" s="31" t="s">
        <v>9</v>
      </c>
      <c r="G32" s="31" t="s">
        <v>10</v>
      </c>
      <c r="H32" s="31" t="s">
        <v>11</v>
      </c>
      <c r="I32" s="33" t="s">
        <v>19</v>
      </c>
      <c r="J32" s="33" t="s">
        <v>12</v>
      </c>
      <c r="K32" s="33" t="s">
        <v>13</v>
      </c>
      <c r="L32" s="33" t="s">
        <v>25</v>
      </c>
      <c r="M32" s="33" t="s">
        <v>14</v>
      </c>
      <c r="N32" s="33" t="s">
        <v>17</v>
      </c>
      <c r="O32" s="33" t="s">
        <v>15</v>
      </c>
      <c r="P32" s="34" t="s">
        <v>16</v>
      </c>
    </row>
    <row r="33" spans="3:16" x14ac:dyDescent="0.2">
      <c r="C33" s="47" t="s">
        <v>69</v>
      </c>
      <c r="D33" s="10"/>
      <c r="E33" s="10"/>
      <c r="F33" s="10"/>
      <c r="G33" s="68">
        <v>22917340</v>
      </c>
      <c r="H33" s="10"/>
      <c r="I33" s="68">
        <v>148617</v>
      </c>
      <c r="J33" s="68">
        <v>33570419</v>
      </c>
      <c r="K33" s="68">
        <v>642341</v>
      </c>
      <c r="L33" s="10"/>
      <c r="M33" s="10"/>
      <c r="N33" s="10"/>
      <c r="O33" s="10"/>
      <c r="P33" s="10">
        <f t="shared" ref="P33" si="17">SUM(D33:O33)</f>
        <v>57278717</v>
      </c>
    </row>
    <row r="34" spans="3:16" x14ac:dyDescent="0.2">
      <c r="C34" s="47" t="s">
        <v>47</v>
      </c>
      <c r="D34" s="10">
        <v>3571884</v>
      </c>
      <c r="E34" s="10">
        <v>303870</v>
      </c>
      <c r="F34" s="10"/>
      <c r="G34" s="10">
        <v>38747580</v>
      </c>
      <c r="H34" s="10">
        <v>10177527</v>
      </c>
      <c r="I34" s="10">
        <v>16757476</v>
      </c>
      <c r="J34" s="10">
        <v>47736140</v>
      </c>
      <c r="K34" s="10">
        <v>10732725</v>
      </c>
      <c r="L34" s="10">
        <v>10672894</v>
      </c>
      <c r="M34" s="10">
        <v>399323</v>
      </c>
      <c r="N34" s="10">
        <v>16487646</v>
      </c>
      <c r="O34" s="10">
        <v>74131</v>
      </c>
      <c r="P34" s="10">
        <f>SUM(D34:O34)</f>
        <v>155661196</v>
      </c>
    </row>
    <row r="35" spans="3:16" x14ac:dyDescent="0.2">
      <c r="C35" s="47" t="s">
        <v>48</v>
      </c>
      <c r="D35" s="10">
        <v>5107300</v>
      </c>
      <c r="E35" s="10">
        <v>472857</v>
      </c>
      <c r="F35" s="10">
        <v>37058060</v>
      </c>
      <c r="G35" s="10">
        <v>54500664</v>
      </c>
      <c r="H35" s="10">
        <v>5677475</v>
      </c>
      <c r="I35" s="10">
        <v>38827043</v>
      </c>
      <c r="J35" s="10">
        <v>47205446</v>
      </c>
      <c r="K35" s="10">
        <v>17247733</v>
      </c>
      <c r="L35" s="10">
        <v>8655132</v>
      </c>
      <c r="M35" s="10">
        <v>7699420</v>
      </c>
      <c r="N35" s="10">
        <v>31722079</v>
      </c>
      <c r="O35" s="10">
        <v>490620</v>
      </c>
      <c r="P35" s="10">
        <f t="shared" ref="P35:P41" si="18">SUM(D35:O35)</f>
        <v>254663829</v>
      </c>
    </row>
    <row r="36" spans="3:16" x14ac:dyDescent="0.2">
      <c r="C36" s="47" t="s">
        <v>49</v>
      </c>
      <c r="D36" s="10">
        <v>4406202</v>
      </c>
      <c r="E36" s="10">
        <v>101671</v>
      </c>
      <c r="F36" s="10">
        <v>52599871</v>
      </c>
      <c r="G36" s="10">
        <v>84223158</v>
      </c>
      <c r="H36" s="10">
        <v>659405</v>
      </c>
      <c r="I36" s="10">
        <v>51945273</v>
      </c>
      <c r="J36" s="10">
        <v>79756398</v>
      </c>
      <c r="K36" s="10">
        <v>22897913</v>
      </c>
      <c r="L36" s="10">
        <v>12425960</v>
      </c>
      <c r="M36" s="10">
        <v>49882875</v>
      </c>
      <c r="N36" s="10">
        <v>50334622</v>
      </c>
      <c r="O36" s="10">
        <v>3566385</v>
      </c>
      <c r="P36" s="10">
        <f t="shared" si="18"/>
        <v>412799733</v>
      </c>
    </row>
    <row r="37" spans="3:16" x14ac:dyDescent="0.2">
      <c r="C37" s="47" t="s">
        <v>50</v>
      </c>
      <c r="D37" s="10">
        <v>5042249</v>
      </c>
      <c r="E37" s="10">
        <v>368609</v>
      </c>
      <c r="F37" s="10">
        <v>112330657</v>
      </c>
      <c r="G37" s="10">
        <v>133841386</v>
      </c>
      <c r="H37" s="10">
        <v>720133</v>
      </c>
      <c r="I37" s="10">
        <v>63965963</v>
      </c>
      <c r="J37" s="10">
        <v>98766037</v>
      </c>
      <c r="K37" s="10">
        <v>20180632</v>
      </c>
      <c r="L37" s="10">
        <v>20538207</v>
      </c>
      <c r="M37" s="10">
        <v>3194725</v>
      </c>
      <c r="N37" s="10">
        <v>38272940</v>
      </c>
      <c r="O37" s="10">
        <v>4158651</v>
      </c>
      <c r="P37" s="10">
        <f t="shared" si="18"/>
        <v>501380189</v>
      </c>
    </row>
    <row r="38" spans="3:16" x14ac:dyDescent="0.2">
      <c r="C38" s="47" t="s">
        <v>51</v>
      </c>
      <c r="D38" s="10">
        <v>10626249</v>
      </c>
      <c r="E38" s="10">
        <v>846248</v>
      </c>
      <c r="F38" s="10">
        <v>120025964</v>
      </c>
      <c r="G38" s="10">
        <v>168676747</v>
      </c>
      <c r="H38" s="10">
        <v>791085</v>
      </c>
      <c r="I38" s="10">
        <v>70588599</v>
      </c>
      <c r="J38" s="10">
        <v>95246110</v>
      </c>
      <c r="K38" s="10">
        <v>24339347</v>
      </c>
      <c r="L38" s="10">
        <v>16768246</v>
      </c>
      <c r="M38" s="10">
        <v>6706193</v>
      </c>
      <c r="N38" s="10">
        <v>54068234</v>
      </c>
      <c r="O38" s="10">
        <v>1599327</v>
      </c>
      <c r="P38" s="10">
        <f t="shared" si="18"/>
        <v>570282349</v>
      </c>
    </row>
    <row r="39" spans="3:16" x14ac:dyDescent="0.2">
      <c r="C39" s="47" t="s">
        <v>52</v>
      </c>
      <c r="D39" s="10">
        <v>10212371</v>
      </c>
      <c r="E39" s="10">
        <v>673608</v>
      </c>
      <c r="F39" s="10">
        <v>120930572</v>
      </c>
      <c r="G39" s="10">
        <v>209906859</v>
      </c>
      <c r="H39" s="10">
        <v>4434948</v>
      </c>
      <c r="I39" s="10">
        <v>111743424</v>
      </c>
      <c r="J39" s="10">
        <v>135286498</v>
      </c>
      <c r="K39" s="10">
        <v>38223085</v>
      </c>
      <c r="L39" s="10">
        <v>18293760</v>
      </c>
      <c r="M39" s="10">
        <v>5756697</v>
      </c>
      <c r="N39" s="10">
        <v>89251096</v>
      </c>
      <c r="O39" s="10">
        <v>4687222</v>
      </c>
      <c r="P39" s="10">
        <f t="shared" si="18"/>
        <v>749400140</v>
      </c>
    </row>
    <row r="40" spans="3:16" x14ac:dyDescent="0.2">
      <c r="C40" s="47" t="s">
        <v>53</v>
      </c>
      <c r="D40" s="10">
        <v>15472293</v>
      </c>
      <c r="E40" s="10">
        <v>1110146</v>
      </c>
      <c r="F40" s="10">
        <v>144293748</v>
      </c>
      <c r="G40" s="10">
        <v>283255958</v>
      </c>
      <c r="H40" s="10">
        <v>4498352</v>
      </c>
      <c r="I40" s="10">
        <v>127080485</v>
      </c>
      <c r="J40" s="10">
        <v>196137679</v>
      </c>
      <c r="K40" s="10">
        <v>67730322</v>
      </c>
      <c r="L40" s="10">
        <v>27464272</v>
      </c>
      <c r="M40" s="10">
        <v>13607626</v>
      </c>
      <c r="N40" s="10">
        <v>71263045</v>
      </c>
      <c r="O40" s="10">
        <v>6392213</v>
      </c>
      <c r="P40" s="10">
        <f t="shared" si="18"/>
        <v>958306139</v>
      </c>
    </row>
    <row r="41" spans="3:16" x14ac:dyDescent="0.2">
      <c r="C41" s="47" t="s">
        <v>55</v>
      </c>
      <c r="D41" s="10">
        <v>15943277</v>
      </c>
      <c r="E41" s="10">
        <v>2000860</v>
      </c>
      <c r="F41" s="10">
        <v>172036391</v>
      </c>
      <c r="G41" s="10">
        <v>405060654</v>
      </c>
      <c r="H41" s="10">
        <v>6384325</v>
      </c>
      <c r="I41" s="10">
        <v>163276446</v>
      </c>
      <c r="J41" s="10">
        <v>360644547</v>
      </c>
      <c r="K41" s="10">
        <v>70647366</v>
      </c>
      <c r="L41" s="10">
        <v>56956518</v>
      </c>
      <c r="M41" s="10">
        <v>13084823</v>
      </c>
      <c r="N41" s="10">
        <v>77176447</v>
      </c>
      <c r="O41" s="10">
        <v>7651738</v>
      </c>
      <c r="P41" s="10">
        <f t="shared" si="18"/>
        <v>1350863392</v>
      </c>
    </row>
    <row r="42" spans="3:16" x14ac:dyDescent="0.2">
      <c r="C42" s="47" t="s">
        <v>120</v>
      </c>
      <c r="D42" s="10">
        <v>18483862</v>
      </c>
      <c r="E42" s="10">
        <v>5180425</v>
      </c>
      <c r="F42" s="10">
        <v>316508622</v>
      </c>
      <c r="G42" s="10">
        <v>409163992</v>
      </c>
      <c r="H42" s="10">
        <v>3932989</v>
      </c>
      <c r="I42" s="10">
        <v>174590976</v>
      </c>
      <c r="J42" s="10">
        <v>230713118</v>
      </c>
      <c r="K42" s="10">
        <v>82185432</v>
      </c>
      <c r="L42" s="10">
        <v>65432243</v>
      </c>
      <c r="M42" s="10">
        <v>31550469</v>
      </c>
      <c r="N42" s="10">
        <v>93017982</v>
      </c>
      <c r="O42" s="10">
        <v>5787392</v>
      </c>
      <c r="P42" s="10">
        <f t="shared" ref="P42" si="19">SUM(D42:O42)</f>
        <v>1436547502</v>
      </c>
    </row>
    <row r="44" spans="3:16" x14ac:dyDescent="0.2">
      <c r="C44" s="64" t="s">
        <v>32</v>
      </c>
    </row>
    <row r="45" spans="3:16" x14ac:dyDescent="0.2">
      <c r="C45" t="s">
        <v>57</v>
      </c>
      <c r="D45" s="31" t="s">
        <v>7</v>
      </c>
      <c r="E45" s="31" t="s">
        <v>8</v>
      </c>
      <c r="F45" s="31" t="s">
        <v>9</v>
      </c>
      <c r="G45" s="31" t="s">
        <v>10</v>
      </c>
      <c r="H45" s="31" t="s">
        <v>11</v>
      </c>
      <c r="I45" s="33" t="s">
        <v>19</v>
      </c>
      <c r="J45" s="33" t="s">
        <v>12</v>
      </c>
      <c r="K45" s="33" t="s">
        <v>13</v>
      </c>
      <c r="L45" s="33" t="s">
        <v>25</v>
      </c>
      <c r="M45" s="33" t="s">
        <v>14</v>
      </c>
      <c r="N45" s="33" t="s">
        <v>17</v>
      </c>
      <c r="O45" s="33" t="s">
        <v>15</v>
      </c>
      <c r="P45" s="34" t="s">
        <v>16</v>
      </c>
    </row>
    <row r="46" spans="3:16" x14ac:dyDescent="0.2">
      <c r="C46" s="47" t="s">
        <v>69</v>
      </c>
      <c r="D46" s="65">
        <f>D58/1024</f>
        <v>0</v>
      </c>
      <c r="E46" s="65">
        <f t="shared" ref="E46:O46" si="20">E58/1024</f>
        <v>0</v>
      </c>
      <c r="F46" s="65">
        <f t="shared" si="20"/>
        <v>0</v>
      </c>
      <c r="G46" s="65">
        <f t="shared" si="20"/>
        <v>72.887439727783203</v>
      </c>
      <c r="H46" s="65">
        <f t="shared" si="20"/>
        <v>0</v>
      </c>
      <c r="I46" s="65">
        <f t="shared" si="20"/>
        <v>6.6466856002807617</v>
      </c>
      <c r="J46" s="65">
        <f t="shared" si="20"/>
        <v>569.63172245025635</v>
      </c>
      <c r="K46" s="65">
        <f t="shared" si="20"/>
        <v>15.27695369720459</v>
      </c>
      <c r="L46" s="65">
        <f t="shared" si="20"/>
        <v>0</v>
      </c>
      <c r="M46" s="65">
        <f t="shared" si="20"/>
        <v>0</v>
      </c>
      <c r="N46" s="65">
        <f t="shared" si="20"/>
        <v>0</v>
      </c>
      <c r="O46" s="65">
        <f t="shared" si="20"/>
        <v>0</v>
      </c>
      <c r="P46" s="65">
        <f t="shared" ref="P46:P54" si="21">SUM(D46:O46)</f>
        <v>664.4428014755249</v>
      </c>
    </row>
    <row r="47" spans="3:16" x14ac:dyDescent="0.2">
      <c r="C47" s="47" t="s">
        <v>47</v>
      </c>
      <c r="D47" s="65">
        <f t="shared" ref="D47:O47" si="22">D59/1024</f>
        <v>167.13747070312499</v>
      </c>
      <c r="E47" s="65">
        <f t="shared" si="22"/>
        <v>16.502822265624999</v>
      </c>
      <c r="F47" s="65">
        <f t="shared" si="22"/>
        <v>0</v>
      </c>
      <c r="G47" s="65">
        <f t="shared" si="22"/>
        <v>302.798525390625</v>
      </c>
      <c r="H47" s="65">
        <f t="shared" si="22"/>
        <v>12.077285156249999</v>
      </c>
      <c r="I47" s="65">
        <f t="shared" si="22"/>
        <v>448.11910156250002</v>
      </c>
      <c r="J47" s="65">
        <f t="shared" si="22"/>
        <v>813.94316406250005</v>
      </c>
      <c r="K47" s="65">
        <f t="shared" si="22"/>
        <v>81.316943359375017</v>
      </c>
      <c r="L47" s="65">
        <f t="shared" si="22"/>
        <v>61.039814453125004</v>
      </c>
      <c r="M47" s="65">
        <f t="shared" si="22"/>
        <v>0.73624999999999996</v>
      </c>
      <c r="N47" s="65">
        <f t="shared" si="22"/>
        <v>62.173291015624997</v>
      </c>
      <c r="O47" s="65">
        <f t="shared" si="22"/>
        <v>6.4423828124999999E-2</v>
      </c>
      <c r="P47" s="65">
        <f t="shared" si="21"/>
        <v>1965.9090917968749</v>
      </c>
    </row>
    <row r="48" spans="3:16" x14ac:dyDescent="0.2">
      <c r="C48" s="47" t="s">
        <v>48</v>
      </c>
      <c r="D48" s="65">
        <f t="shared" ref="D48:O48" si="23">D60/1024</f>
        <v>187.91737431887725</v>
      </c>
      <c r="E48" s="65">
        <f t="shared" si="23"/>
        <v>41.982201290367755</v>
      </c>
      <c r="F48" s="65">
        <f t="shared" si="23"/>
        <v>9.2010803301645563</v>
      </c>
      <c r="G48" s="65">
        <f t="shared" si="23"/>
        <v>487.31976638919554</v>
      </c>
      <c r="H48" s="65">
        <f t="shared" si="23"/>
        <v>8.6275993815233729</v>
      </c>
      <c r="I48" s="65">
        <f t="shared" si="23"/>
        <v>538.93535439403638</v>
      </c>
      <c r="J48" s="65">
        <f t="shared" si="23"/>
        <v>866.74800395509101</v>
      </c>
      <c r="K48" s="65">
        <f t="shared" si="23"/>
        <v>119.99649580963224</v>
      </c>
      <c r="L48" s="65">
        <f t="shared" si="23"/>
        <v>73.955380859374998</v>
      </c>
      <c r="M48" s="65">
        <f t="shared" si="23"/>
        <v>2.859052655876436</v>
      </c>
      <c r="N48" s="65">
        <f t="shared" si="23"/>
        <v>91.35252567675154</v>
      </c>
      <c r="O48" s="65">
        <f t="shared" si="23"/>
        <v>0.31630323165882113</v>
      </c>
      <c r="P48" s="65">
        <f t="shared" si="21"/>
        <v>2429.21113829255</v>
      </c>
    </row>
    <row r="49" spans="3:16" x14ac:dyDescent="0.2">
      <c r="C49" s="47" t="s">
        <v>49</v>
      </c>
      <c r="D49" s="65">
        <f t="shared" ref="D49:O49" si="24">D61/1024</f>
        <v>232.70969726562498</v>
      </c>
      <c r="E49" s="65">
        <f t="shared" si="24"/>
        <v>2.6634765624999996</v>
      </c>
      <c r="F49" s="65">
        <f t="shared" si="24"/>
        <v>17.431845703124999</v>
      </c>
      <c r="G49" s="65">
        <f t="shared" si="24"/>
        <v>698.67523437499995</v>
      </c>
      <c r="H49" s="65">
        <f t="shared" si="24"/>
        <v>12.410048828124999</v>
      </c>
      <c r="I49" s="65">
        <f t="shared" si="24"/>
        <v>952.70526367187506</v>
      </c>
      <c r="J49" s="65">
        <f t="shared" si="24"/>
        <v>1287.3805273437499</v>
      </c>
      <c r="K49" s="65">
        <f t="shared" si="24"/>
        <v>140.17009765624999</v>
      </c>
      <c r="L49" s="65">
        <f t="shared" si="24"/>
        <v>173.84639648437499</v>
      </c>
      <c r="M49" s="65">
        <f t="shared" si="24"/>
        <v>4.9920605468749999</v>
      </c>
      <c r="N49" s="65">
        <f t="shared" si="24"/>
        <v>104.92124023437498</v>
      </c>
      <c r="O49" s="65">
        <f t="shared" si="24"/>
        <v>1.4294628906250002</v>
      </c>
      <c r="P49" s="65">
        <f t="shared" si="21"/>
        <v>3629.3353515624999</v>
      </c>
    </row>
    <row r="50" spans="3:16" x14ac:dyDescent="0.2">
      <c r="C50" s="47" t="s">
        <v>50</v>
      </c>
      <c r="D50" s="65">
        <f t="shared" ref="D50:O50" si="25">D62/1024</f>
        <v>195.51196289062503</v>
      </c>
      <c r="E50" s="65">
        <f t="shared" si="25"/>
        <v>103.10643554687501</v>
      </c>
      <c r="F50" s="65">
        <f t="shared" si="25"/>
        <v>35.759873046874993</v>
      </c>
      <c r="G50" s="65">
        <f t="shared" si="25"/>
        <v>1042.4527050781248</v>
      </c>
      <c r="H50" s="65">
        <f t="shared" si="25"/>
        <v>5.9392285156250013</v>
      </c>
      <c r="I50" s="65">
        <f t="shared" si="25"/>
        <v>1178.54642578125</v>
      </c>
      <c r="J50" s="65">
        <f t="shared" si="25"/>
        <v>1578.3927832031247</v>
      </c>
      <c r="K50" s="65">
        <f t="shared" si="25"/>
        <v>185.13569335937498</v>
      </c>
      <c r="L50" s="65">
        <f t="shared" si="25"/>
        <v>282.97775390625003</v>
      </c>
      <c r="M50" s="65">
        <f t="shared" si="25"/>
        <v>7.1624121093750004</v>
      </c>
      <c r="N50" s="65">
        <f t="shared" si="25"/>
        <v>111.833525390625</v>
      </c>
      <c r="O50" s="65">
        <f t="shared" si="25"/>
        <v>2.8848242187499995</v>
      </c>
      <c r="P50" s="65">
        <f t="shared" si="21"/>
        <v>4729.7036230468739</v>
      </c>
    </row>
    <row r="51" spans="3:16" x14ac:dyDescent="0.2">
      <c r="C51" s="47" t="s">
        <v>51</v>
      </c>
      <c r="D51" s="65">
        <f t="shared" ref="D51:O51" si="26">D63/1024</f>
        <v>643.93322265624988</v>
      </c>
      <c r="E51" s="65">
        <f t="shared" si="26"/>
        <v>188.17906250000001</v>
      </c>
      <c r="F51" s="65">
        <f t="shared" si="26"/>
        <v>37.516135742187501</v>
      </c>
      <c r="G51" s="65">
        <f t="shared" si="26"/>
        <v>1327.66482421875</v>
      </c>
      <c r="H51" s="65">
        <f t="shared" si="26"/>
        <v>7.2834960937500011</v>
      </c>
      <c r="I51" s="65">
        <f t="shared" si="26"/>
        <v>1200.866494140625</v>
      </c>
      <c r="J51" s="65">
        <f t="shared" si="26"/>
        <v>1289.7931152343751</v>
      </c>
      <c r="K51" s="65">
        <f t="shared" si="26"/>
        <v>168.339326171875</v>
      </c>
      <c r="L51" s="65">
        <f t="shared" si="26"/>
        <v>370.48637695312499</v>
      </c>
      <c r="M51" s="65">
        <f t="shared" si="26"/>
        <v>10.159755859375002</v>
      </c>
      <c r="N51" s="65">
        <f t="shared" si="26"/>
        <v>161.62029296874999</v>
      </c>
      <c r="O51" s="65">
        <f t="shared" si="26"/>
        <v>1.470908203125</v>
      </c>
      <c r="P51" s="65">
        <f t="shared" si="21"/>
        <v>5407.3130107421866</v>
      </c>
    </row>
    <row r="52" spans="3:16" x14ac:dyDescent="0.2">
      <c r="C52" s="47" t="s">
        <v>52</v>
      </c>
      <c r="D52" s="65">
        <f t="shared" ref="D52:O52" si="27">D64/1024</f>
        <v>624.53989257812486</v>
      </c>
      <c r="E52" s="65">
        <f t="shared" si="27"/>
        <v>81.960292968749997</v>
      </c>
      <c r="F52" s="65">
        <f t="shared" si="27"/>
        <v>48.773496093749998</v>
      </c>
      <c r="G52" s="65">
        <f t="shared" si="27"/>
        <v>1942.4786035156249</v>
      </c>
      <c r="H52" s="65">
        <f t="shared" si="27"/>
        <v>6.9492285156250002</v>
      </c>
      <c r="I52" s="65">
        <f t="shared" si="27"/>
        <v>1456.1670898437501</v>
      </c>
      <c r="J52" s="65">
        <f t="shared" si="27"/>
        <v>2080.3925292968752</v>
      </c>
      <c r="K52" s="65">
        <f t="shared" si="27"/>
        <v>180.22646484374999</v>
      </c>
      <c r="L52" s="65">
        <f t="shared" si="27"/>
        <v>500.98374023437498</v>
      </c>
      <c r="M52" s="65">
        <f t="shared" si="27"/>
        <v>16.33041015625</v>
      </c>
      <c r="N52" s="65">
        <f t="shared" si="27"/>
        <v>232.35997070312499</v>
      </c>
      <c r="O52" s="65">
        <f t="shared" si="27"/>
        <v>2.5720312500000002</v>
      </c>
      <c r="P52" s="65">
        <f t="shared" si="21"/>
        <v>7173.7337499999994</v>
      </c>
    </row>
    <row r="53" spans="3:16" x14ac:dyDescent="0.2">
      <c r="C53" s="47" t="s">
        <v>53</v>
      </c>
      <c r="D53" s="65">
        <f t="shared" ref="D53:O53" si="28">D65/1024</f>
        <v>1094.296884765625</v>
      </c>
      <c r="E53" s="65">
        <f t="shared" si="28"/>
        <v>349.97136718750005</v>
      </c>
      <c r="F53" s="65">
        <f t="shared" si="28"/>
        <v>72.337106445312514</v>
      </c>
      <c r="G53" s="65">
        <f t="shared" si="28"/>
        <v>1770.654091796875</v>
      </c>
      <c r="H53" s="65">
        <f t="shared" si="28"/>
        <v>8.9811523437499989</v>
      </c>
      <c r="I53" s="65">
        <f t="shared" si="28"/>
        <v>2132.9461816406251</v>
      </c>
      <c r="J53" s="65">
        <f t="shared" si="28"/>
        <v>3045.8086132812505</v>
      </c>
      <c r="K53" s="65">
        <f t="shared" si="28"/>
        <v>169.87938476562502</v>
      </c>
      <c r="L53" s="65">
        <f t="shared" si="28"/>
        <v>404.45936523437501</v>
      </c>
      <c r="M53" s="65">
        <f t="shared" si="28"/>
        <v>21.51076171875</v>
      </c>
      <c r="N53" s="65">
        <f t="shared" si="28"/>
        <v>207.10779296875</v>
      </c>
      <c r="O53" s="65">
        <f t="shared" si="28"/>
        <v>2.7203515624999999</v>
      </c>
      <c r="P53" s="65">
        <f t="shared" si="21"/>
        <v>9280.6730537109397</v>
      </c>
    </row>
    <row r="54" spans="3:16" x14ac:dyDescent="0.2">
      <c r="C54" s="47" t="s">
        <v>55</v>
      </c>
      <c r="D54" s="65">
        <f t="shared" ref="D54:O55" si="29">D66/1024</f>
        <v>1142.3560986581349</v>
      </c>
      <c r="E54" s="65">
        <f t="shared" si="29"/>
        <v>189.67558521090592</v>
      </c>
      <c r="F54" s="65">
        <f t="shared" si="29"/>
        <v>93.666928523617443</v>
      </c>
      <c r="G54" s="65">
        <f t="shared" si="29"/>
        <v>2071.4167294902027</v>
      </c>
      <c r="H54" s="65">
        <f t="shared" si="29"/>
        <v>16.130874663122043</v>
      </c>
      <c r="I54" s="65">
        <f t="shared" si="29"/>
        <v>1801.2341377453145</v>
      </c>
      <c r="J54" s="65">
        <f t="shared" si="29"/>
        <v>3916.7340831344368</v>
      </c>
      <c r="K54" s="65">
        <f t="shared" si="29"/>
        <v>201.59095327375263</v>
      </c>
      <c r="L54" s="65">
        <f t="shared" si="29"/>
        <v>1191.0308301382825</v>
      </c>
      <c r="M54" s="65">
        <f t="shared" si="29"/>
        <v>20.427300843186408</v>
      </c>
      <c r="N54" s="65">
        <f t="shared" si="29"/>
        <v>300.98538081447828</v>
      </c>
      <c r="O54" s="65">
        <f t="shared" si="29"/>
        <v>1.672547038133412</v>
      </c>
      <c r="P54" s="65">
        <f t="shared" si="21"/>
        <v>10946.921449533569</v>
      </c>
    </row>
    <row r="55" spans="3:16" x14ac:dyDescent="0.2">
      <c r="C55" s="47" t="s">
        <v>120</v>
      </c>
      <c r="D55" s="65">
        <f t="shared" si="29"/>
        <v>1315.178235138271</v>
      </c>
      <c r="E55" s="65">
        <f t="shared" si="29"/>
        <v>625.93828388214115</v>
      </c>
      <c r="F55" s="65">
        <f t="shared" si="29"/>
        <v>143.02083835122664</v>
      </c>
      <c r="G55" s="65">
        <f t="shared" si="29"/>
        <v>4058.9668372702859</v>
      </c>
      <c r="H55" s="65">
        <f t="shared" si="29"/>
        <v>8.8443165346970822</v>
      </c>
      <c r="I55" s="65">
        <f t="shared" si="29"/>
        <v>2501.0258962979528</v>
      </c>
      <c r="J55" s="65">
        <f t="shared" si="29"/>
        <v>2935.5405872167821</v>
      </c>
      <c r="K55" s="65">
        <f t="shared" si="29"/>
        <v>262.98465774811689</v>
      </c>
      <c r="L55" s="65">
        <f t="shared" si="29"/>
        <v>1479.5026629857307</v>
      </c>
      <c r="M55" s="65">
        <f t="shared" si="29"/>
        <v>71.654050646128539</v>
      </c>
      <c r="N55" s="65">
        <f t="shared" si="29"/>
        <v>481.28024073248207</v>
      </c>
      <c r="O55" s="65">
        <f t="shared" si="29"/>
        <v>2.8853466487826123</v>
      </c>
      <c r="P55" s="65">
        <f t="shared" ref="P55" si="30">SUM(D55:O55)</f>
        <v>13886.821953452594</v>
      </c>
    </row>
    <row r="56" spans="3:16" x14ac:dyDescent="0.2">
      <c r="C56" s="64" t="s">
        <v>43</v>
      </c>
    </row>
    <row r="57" spans="3:16" x14ac:dyDescent="0.2">
      <c r="C57" t="s">
        <v>57</v>
      </c>
      <c r="D57" s="31" t="s">
        <v>7</v>
      </c>
      <c r="E57" s="31" t="s">
        <v>8</v>
      </c>
      <c r="F57" s="31" t="s">
        <v>9</v>
      </c>
      <c r="G57" s="31" t="s">
        <v>10</v>
      </c>
      <c r="H57" s="31" t="s">
        <v>11</v>
      </c>
      <c r="I57" s="33" t="s">
        <v>19</v>
      </c>
      <c r="J57" s="33" t="s">
        <v>12</v>
      </c>
      <c r="K57" s="33" t="s">
        <v>13</v>
      </c>
      <c r="L57" s="33" t="s">
        <v>25</v>
      </c>
      <c r="M57" s="33" t="s">
        <v>14</v>
      </c>
      <c r="N57" s="33" t="s">
        <v>17</v>
      </c>
      <c r="O57" s="33" t="s">
        <v>15</v>
      </c>
      <c r="P57" s="34" t="s">
        <v>16</v>
      </c>
    </row>
    <row r="58" spans="3:16" x14ac:dyDescent="0.2">
      <c r="C58" s="47" t="s">
        <v>69</v>
      </c>
      <c r="D58" s="65"/>
      <c r="E58" s="65"/>
      <c r="F58" s="65"/>
      <c r="G58" s="66">
        <v>74636.73828125</v>
      </c>
      <c r="H58" s="65"/>
      <c r="I58" s="66">
        <v>6806.2060546875</v>
      </c>
      <c r="J58" s="66">
        <v>583302.8837890625</v>
      </c>
      <c r="K58" s="66">
        <v>15643.6005859375</v>
      </c>
      <c r="L58" s="65"/>
      <c r="M58" s="65"/>
      <c r="N58" s="65"/>
      <c r="O58" s="65"/>
      <c r="P58" s="65">
        <f t="shared" ref="P58:P66" si="31">SUM(D58:O58)</f>
        <v>680389.4287109375</v>
      </c>
    </row>
    <row r="59" spans="3:16" x14ac:dyDescent="0.2">
      <c r="C59" s="47" t="s">
        <v>47</v>
      </c>
      <c r="D59" s="65">
        <v>171148.77</v>
      </c>
      <c r="E59" s="65">
        <v>16898.89</v>
      </c>
      <c r="F59" s="65"/>
      <c r="G59" s="65">
        <v>310065.69</v>
      </c>
      <c r="H59" s="65">
        <v>12367.14</v>
      </c>
      <c r="I59" s="65">
        <v>458873.96</v>
      </c>
      <c r="J59" s="65">
        <v>833477.8</v>
      </c>
      <c r="K59" s="65">
        <v>83268.550000000017</v>
      </c>
      <c r="L59" s="65">
        <v>62504.770000000004</v>
      </c>
      <c r="M59" s="65">
        <v>753.92</v>
      </c>
      <c r="N59" s="65">
        <v>63665.45</v>
      </c>
      <c r="O59" s="65">
        <v>65.97</v>
      </c>
      <c r="P59" s="65">
        <f t="shared" si="31"/>
        <v>2013090.91</v>
      </c>
    </row>
    <row r="60" spans="3:16" x14ac:dyDescent="0.2">
      <c r="C60" s="47" t="s">
        <v>48</v>
      </c>
      <c r="D60" s="65">
        <v>192427.3913025303</v>
      </c>
      <c r="E60" s="65">
        <v>42989.774121336581</v>
      </c>
      <c r="F60" s="65">
        <v>9421.9062580885056</v>
      </c>
      <c r="G60" s="65">
        <v>499015.44078253623</v>
      </c>
      <c r="H60" s="65">
        <v>8834.6617666799339</v>
      </c>
      <c r="I60" s="65">
        <v>551869.80289949325</v>
      </c>
      <c r="J60" s="65">
        <v>887549.95605001319</v>
      </c>
      <c r="K60" s="65">
        <v>122876.41170906341</v>
      </c>
      <c r="L60" s="69">
        <v>75730.31</v>
      </c>
      <c r="M60" s="65">
        <v>2927.6699196174704</v>
      </c>
      <c r="N60" s="65">
        <v>93544.986292993577</v>
      </c>
      <c r="O60" s="65">
        <v>323.89450921863283</v>
      </c>
      <c r="P60" s="65">
        <f t="shared" si="31"/>
        <v>2487512.2056115712</v>
      </c>
    </row>
    <row r="61" spans="3:16" x14ac:dyDescent="0.2">
      <c r="C61" s="47" t="s">
        <v>49</v>
      </c>
      <c r="D61" s="65">
        <v>238294.72999999998</v>
      </c>
      <c r="E61" s="65">
        <v>2727.3999999999996</v>
      </c>
      <c r="F61" s="65">
        <v>17850.21</v>
      </c>
      <c r="G61" s="65">
        <v>715443.44</v>
      </c>
      <c r="H61" s="65">
        <v>12707.89</v>
      </c>
      <c r="I61" s="65">
        <v>975570.19000000006</v>
      </c>
      <c r="J61" s="65">
        <v>1318277.6599999999</v>
      </c>
      <c r="K61" s="65">
        <v>143534.18</v>
      </c>
      <c r="L61" s="65">
        <v>178018.71</v>
      </c>
      <c r="M61" s="65">
        <v>5111.87</v>
      </c>
      <c r="N61" s="65">
        <v>107439.34999999998</v>
      </c>
      <c r="O61" s="65">
        <v>1463.7700000000002</v>
      </c>
      <c r="P61" s="65">
        <f t="shared" si="31"/>
        <v>3716439.4</v>
      </c>
    </row>
    <row r="62" spans="3:16" x14ac:dyDescent="0.2">
      <c r="C62" s="47" t="s">
        <v>50</v>
      </c>
      <c r="D62" s="65">
        <v>200204.25000000003</v>
      </c>
      <c r="E62" s="65">
        <v>105580.99</v>
      </c>
      <c r="F62" s="65">
        <v>36618.109999999993</v>
      </c>
      <c r="G62" s="65">
        <v>1067471.5699999998</v>
      </c>
      <c r="H62" s="65">
        <v>6081.7700000000013</v>
      </c>
      <c r="I62" s="65">
        <v>1206831.54</v>
      </c>
      <c r="J62" s="65">
        <v>1616274.2099999997</v>
      </c>
      <c r="K62" s="65">
        <v>189578.94999999998</v>
      </c>
      <c r="L62" s="65">
        <v>289769.22000000003</v>
      </c>
      <c r="M62" s="65">
        <v>7334.31</v>
      </c>
      <c r="N62" s="65">
        <v>114517.53</v>
      </c>
      <c r="O62" s="65">
        <v>2954.0599999999995</v>
      </c>
      <c r="P62" s="65">
        <f t="shared" si="31"/>
        <v>4843216.5099999988</v>
      </c>
    </row>
    <row r="63" spans="3:16" x14ac:dyDescent="0.2">
      <c r="C63" s="47" t="s">
        <v>51</v>
      </c>
      <c r="D63" s="65">
        <v>659387.61999999988</v>
      </c>
      <c r="E63" s="65">
        <v>192695.36000000002</v>
      </c>
      <c r="F63" s="65">
        <v>38416.523000000001</v>
      </c>
      <c r="G63" s="65">
        <v>1359528.78</v>
      </c>
      <c r="H63" s="65">
        <v>7458.3000000000011</v>
      </c>
      <c r="I63" s="65">
        <v>1229687.29</v>
      </c>
      <c r="J63" s="65">
        <v>1320748.1500000001</v>
      </c>
      <c r="K63" s="65">
        <v>172379.47</v>
      </c>
      <c r="L63" s="65">
        <v>379378.05</v>
      </c>
      <c r="M63" s="65">
        <v>10403.590000000002</v>
      </c>
      <c r="N63" s="65">
        <v>165499.18</v>
      </c>
      <c r="O63" s="65">
        <v>1506.21</v>
      </c>
      <c r="P63" s="65">
        <f t="shared" si="31"/>
        <v>5537088.5229999991</v>
      </c>
    </row>
    <row r="64" spans="3:16" x14ac:dyDescent="0.2">
      <c r="C64" s="47" t="s">
        <v>52</v>
      </c>
      <c r="D64" s="65">
        <v>639528.84999999986</v>
      </c>
      <c r="E64" s="65">
        <v>83927.34</v>
      </c>
      <c r="F64" s="65">
        <v>49944.06</v>
      </c>
      <c r="G64" s="65">
        <v>1989098.0899999999</v>
      </c>
      <c r="H64" s="65">
        <v>7116.01</v>
      </c>
      <c r="I64" s="65">
        <v>1491115.1</v>
      </c>
      <c r="J64" s="65">
        <v>2130321.9500000002</v>
      </c>
      <c r="K64" s="65">
        <v>184551.9</v>
      </c>
      <c r="L64" s="65">
        <v>513007.35</v>
      </c>
      <c r="M64" s="65">
        <v>16722.34</v>
      </c>
      <c r="N64" s="65">
        <v>237936.61</v>
      </c>
      <c r="O64" s="65">
        <v>2633.76</v>
      </c>
      <c r="P64" s="65">
        <f t="shared" si="31"/>
        <v>7345903.3599999994</v>
      </c>
    </row>
    <row r="65" spans="3:16" x14ac:dyDescent="0.2">
      <c r="C65" s="47" t="s">
        <v>53</v>
      </c>
      <c r="D65" s="65">
        <v>1120560.01</v>
      </c>
      <c r="E65" s="65">
        <v>358370.68000000005</v>
      </c>
      <c r="F65" s="65">
        <v>74073.197000000015</v>
      </c>
      <c r="G65" s="65">
        <v>1813149.79</v>
      </c>
      <c r="H65" s="65">
        <v>9196.6999999999989</v>
      </c>
      <c r="I65" s="65">
        <v>2184136.89</v>
      </c>
      <c r="J65" s="65">
        <v>3118908.0200000005</v>
      </c>
      <c r="K65" s="65">
        <v>173956.49000000002</v>
      </c>
      <c r="L65" s="65">
        <v>414166.39</v>
      </c>
      <c r="M65" s="65">
        <v>22027.02</v>
      </c>
      <c r="N65" s="65">
        <v>212078.38</v>
      </c>
      <c r="O65" s="65">
        <v>2785.64</v>
      </c>
      <c r="P65" s="65">
        <f t="shared" si="31"/>
        <v>9503409.2070000023</v>
      </c>
    </row>
    <row r="66" spans="3:16" x14ac:dyDescent="0.2">
      <c r="C66" s="47" t="s">
        <v>55</v>
      </c>
      <c r="D66" s="65">
        <v>1169772.6450259301</v>
      </c>
      <c r="E66" s="65">
        <v>194227.79925596766</v>
      </c>
      <c r="F66" s="65">
        <v>95914.934808184262</v>
      </c>
      <c r="G66" s="65">
        <v>2121130.7309979675</v>
      </c>
      <c r="H66" s="65">
        <v>16518.015655036972</v>
      </c>
      <c r="I66" s="65">
        <v>1844463.757051202</v>
      </c>
      <c r="J66" s="65">
        <v>4010735.7011296633</v>
      </c>
      <c r="K66" s="65">
        <v>206429.1361523227</v>
      </c>
      <c r="L66" s="65">
        <v>1219615.5700616012</v>
      </c>
      <c r="M66" s="65">
        <v>20917.556063422882</v>
      </c>
      <c r="N66" s="65">
        <v>308209.02995402575</v>
      </c>
      <c r="O66" s="65">
        <v>1712.6881670486139</v>
      </c>
      <c r="P66" s="65">
        <f t="shared" si="31"/>
        <v>11209647.564322375</v>
      </c>
    </row>
    <row r="67" spans="3:16" x14ac:dyDescent="0.2">
      <c r="C67" s="47" t="s">
        <v>120</v>
      </c>
      <c r="D67" s="65">
        <v>1346742.5127815895</v>
      </c>
      <c r="E67" s="65">
        <v>640960.80269531254</v>
      </c>
      <c r="F67" s="65">
        <v>146453.33847165608</v>
      </c>
      <c r="G67" s="65">
        <v>4156382.0413647727</v>
      </c>
      <c r="H67" s="65">
        <v>9056.5801315298122</v>
      </c>
      <c r="I67" s="65">
        <v>2561050.5178091037</v>
      </c>
      <c r="J67" s="65">
        <v>3005993.5613099849</v>
      </c>
      <c r="K67" s="65">
        <v>269296.28953407169</v>
      </c>
      <c r="L67" s="65">
        <v>1515010.7268973882</v>
      </c>
      <c r="M67" s="65">
        <v>73373.747861635624</v>
      </c>
      <c r="N67" s="65">
        <v>492830.96651006164</v>
      </c>
      <c r="O67" s="65">
        <v>2954.594968353395</v>
      </c>
      <c r="P67" s="65">
        <f t="shared" ref="P67" si="32">SUM(D67:O67)</f>
        <v>14220105.680335457</v>
      </c>
    </row>
  </sheetData>
  <mergeCells count="1">
    <mergeCell ref="C1:P1"/>
  </mergeCells>
  <pageMargins left="0.75" right="0.75" top="1" bottom="1" header="0.5" footer="0.5"/>
  <pageSetup scale="75" orientation="landscape" r:id="rId1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44"/>
  <sheetViews>
    <sheetView zoomScale="70" zoomScaleNormal="70" workbookViewId="0">
      <selection activeCell="B186" sqref="B186"/>
    </sheetView>
  </sheetViews>
  <sheetFormatPr defaultColWidth="8.85546875" defaultRowHeight="12.75" x14ac:dyDescent="0.2"/>
  <cols>
    <col min="1" max="1" width="8.85546875" style="15"/>
    <col min="2" max="2" width="12.7109375" style="15" customWidth="1"/>
    <col min="3" max="3" width="12.140625" style="15" customWidth="1"/>
    <col min="4" max="4" width="11.42578125" style="15" customWidth="1"/>
    <col min="5" max="5" width="10" style="15" customWidth="1"/>
    <col min="6" max="6" width="10.85546875" style="15" customWidth="1"/>
    <col min="7" max="7" width="11.140625" style="15" customWidth="1"/>
    <col min="8" max="8" width="11.85546875" style="15" customWidth="1"/>
    <col min="9" max="9" width="10.140625" style="15" customWidth="1"/>
    <col min="10" max="10" width="11.42578125" style="15" customWidth="1"/>
    <col min="11" max="12" width="11" style="15" customWidth="1"/>
    <col min="13" max="13" width="10.42578125" style="15" customWidth="1"/>
    <col min="14" max="14" width="11.42578125" style="15" customWidth="1"/>
    <col min="15" max="16" width="8.85546875" style="15"/>
    <col min="17" max="17" width="10.28515625" style="15" customWidth="1"/>
    <col min="18" max="18" width="9.85546875" style="15" customWidth="1"/>
    <col min="19" max="19" width="10.42578125" style="15" customWidth="1"/>
    <col min="20" max="20" width="11.5703125" style="15" customWidth="1"/>
    <col min="21" max="21" width="10.7109375" style="15" customWidth="1"/>
    <col min="22" max="22" width="10.85546875" style="15" customWidth="1"/>
    <col min="23" max="23" width="12.7109375" style="15" customWidth="1"/>
    <col min="24" max="24" width="9.85546875" style="15" customWidth="1"/>
    <col min="25" max="25" width="10.140625" style="15" customWidth="1"/>
    <col min="26" max="26" width="8.85546875" style="15"/>
    <col min="27" max="27" width="11.28515625" style="15" customWidth="1"/>
    <col min="28" max="28" width="10.28515625" style="15" customWidth="1"/>
    <col min="29" max="29" width="12.28515625" style="15" customWidth="1"/>
    <col min="30" max="257" width="8.85546875" style="15"/>
    <col min="258" max="258" width="14.42578125" style="15" customWidth="1"/>
    <col min="259" max="259" width="16.42578125" style="15" customWidth="1"/>
    <col min="260" max="260" width="14.42578125" style="15" customWidth="1"/>
    <col min="261" max="263" width="8.85546875" style="15"/>
    <col min="264" max="264" width="10.28515625" style="15" bestFit="1" customWidth="1"/>
    <col min="265" max="265" width="10.140625" style="15" customWidth="1"/>
    <col min="266" max="266" width="11.42578125" style="15" customWidth="1"/>
    <col min="267" max="267" width="11" style="15" customWidth="1"/>
    <col min="268" max="268" width="6.28515625" style="15" customWidth="1"/>
    <col min="269" max="269" width="11.28515625" style="15" customWidth="1"/>
    <col min="270" max="270" width="14.7109375" style="15" bestFit="1" customWidth="1"/>
    <col min="271" max="513" width="8.85546875" style="15"/>
    <col min="514" max="514" width="14.42578125" style="15" customWidth="1"/>
    <col min="515" max="515" width="16.42578125" style="15" customWidth="1"/>
    <col min="516" max="516" width="14.42578125" style="15" customWidth="1"/>
    <col min="517" max="519" width="8.85546875" style="15"/>
    <col min="520" max="520" width="10.28515625" style="15" bestFit="1" customWidth="1"/>
    <col min="521" max="521" width="10.140625" style="15" customWidth="1"/>
    <col min="522" max="522" width="11.42578125" style="15" customWidth="1"/>
    <col min="523" max="523" width="11" style="15" customWidth="1"/>
    <col min="524" max="524" width="6.28515625" style="15" customWidth="1"/>
    <col min="525" max="525" width="11.28515625" style="15" customWidth="1"/>
    <col min="526" max="526" width="14.7109375" style="15" bestFit="1" customWidth="1"/>
    <col min="527" max="769" width="8.85546875" style="15"/>
    <col min="770" max="770" width="14.42578125" style="15" customWidth="1"/>
    <col min="771" max="771" width="16.42578125" style="15" customWidth="1"/>
    <col min="772" max="772" width="14.42578125" style="15" customWidth="1"/>
    <col min="773" max="775" width="8.85546875" style="15"/>
    <col min="776" max="776" width="10.28515625" style="15" bestFit="1" customWidth="1"/>
    <col min="777" max="777" width="10.140625" style="15" customWidth="1"/>
    <col min="778" max="778" width="11.42578125" style="15" customWidth="1"/>
    <col min="779" max="779" width="11" style="15" customWidth="1"/>
    <col min="780" max="780" width="6.28515625" style="15" customWidth="1"/>
    <col min="781" max="781" width="11.28515625" style="15" customWidth="1"/>
    <col min="782" max="782" width="14.7109375" style="15" bestFit="1" customWidth="1"/>
    <col min="783" max="1025" width="8.85546875" style="15"/>
    <col min="1026" max="1026" width="14.42578125" style="15" customWidth="1"/>
    <col min="1027" max="1027" width="16.42578125" style="15" customWidth="1"/>
    <col min="1028" max="1028" width="14.42578125" style="15" customWidth="1"/>
    <col min="1029" max="1031" width="8.85546875" style="15"/>
    <col min="1032" max="1032" width="10.28515625" style="15" bestFit="1" customWidth="1"/>
    <col min="1033" max="1033" width="10.140625" style="15" customWidth="1"/>
    <col min="1034" max="1034" width="11.42578125" style="15" customWidth="1"/>
    <col min="1035" max="1035" width="11" style="15" customWidth="1"/>
    <col min="1036" max="1036" width="6.28515625" style="15" customWidth="1"/>
    <col min="1037" max="1037" width="11.28515625" style="15" customWidth="1"/>
    <col min="1038" max="1038" width="14.7109375" style="15" bestFit="1" customWidth="1"/>
    <col min="1039" max="1281" width="8.85546875" style="15"/>
    <col min="1282" max="1282" width="14.42578125" style="15" customWidth="1"/>
    <col min="1283" max="1283" width="16.42578125" style="15" customWidth="1"/>
    <col min="1284" max="1284" width="14.42578125" style="15" customWidth="1"/>
    <col min="1285" max="1287" width="8.85546875" style="15"/>
    <col min="1288" max="1288" width="10.28515625" style="15" bestFit="1" customWidth="1"/>
    <col min="1289" max="1289" width="10.140625" style="15" customWidth="1"/>
    <col min="1290" max="1290" width="11.42578125" style="15" customWidth="1"/>
    <col min="1291" max="1291" width="11" style="15" customWidth="1"/>
    <col min="1292" max="1292" width="6.28515625" style="15" customWidth="1"/>
    <col min="1293" max="1293" width="11.28515625" style="15" customWidth="1"/>
    <col min="1294" max="1294" width="14.7109375" style="15" bestFit="1" customWidth="1"/>
    <col min="1295" max="1537" width="8.85546875" style="15"/>
    <col min="1538" max="1538" width="14.42578125" style="15" customWidth="1"/>
    <col min="1539" max="1539" width="16.42578125" style="15" customWidth="1"/>
    <col min="1540" max="1540" width="14.42578125" style="15" customWidth="1"/>
    <col min="1541" max="1543" width="8.85546875" style="15"/>
    <col min="1544" max="1544" width="10.28515625" style="15" bestFit="1" customWidth="1"/>
    <col min="1545" max="1545" width="10.140625" style="15" customWidth="1"/>
    <col min="1546" max="1546" width="11.42578125" style="15" customWidth="1"/>
    <col min="1547" max="1547" width="11" style="15" customWidth="1"/>
    <col min="1548" max="1548" width="6.28515625" style="15" customWidth="1"/>
    <col min="1549" max="1549" width="11.28515625" style="15" customWidth="1"/>
    <col min="1550" max="1550" width="14.7109375" style="15" bestFit="1" customWidth="1"/>
    <col min="1551" max="1793" width="8.85546875" style="15"/>
    <col min="1794" max="1794" width="14.42578125" style="15" customWidth="1"/>
    <col min="1795" max="1795" width="16.42578125" style="15" customWidth="1"/>
    <col min="1796" max="1796" width="14.42578125" style="15" customWidth="1"/>
    <col min="1797" max="1799" width="8.85546875" style="15"/>
    <col min="1800" max="1800" width="10.28515625" style="15" bestFit="1" customWidth="1"/>
    <col min="1801" max="1801" width="10.140625" style="15" customWidth="1"/>
    <col min="1802" max="1802" width="11.42578125" style="15" customWidth="1"/>
    <col min="1803" max="1803" width="11" style="15" customWidth="1"/>
    <col min="1804" max="1804" width="6.28515625" style="15" customWidth="1"/>
    <col min="1805" max="1805" width="11.28515625" style="15" customWidth="1"/>
    <col min="1806" max="1806" width="14.7109375" style="15" bestFit="1" customWidth="1"/>
    <col min="1807" max="2049" width="8.85546875" style="15"/>
    <col min="2050" max="2050" width="14.42578125" style="15" customWidth="1"/>
    <col min="2051" max="2051" width="16.42578125" style="15" customWidth="1"/>
    <col min="2052" max="2052" width="14.42578125" style="15" customWidth="1"/>
    <col min="2053" max="2055" width="8.85546875" style="15"/>
    <col min="2056" max="2056" width="10.28515625" style="15" bestFit="1" customWidth="1"/>
    <col min="2057" max="2057" width="10.140625" style="15" customWidth="1"/>
    <col min="2058" max="2058" width="11.42578125" style="15" customWidth="1"/>
    <col min="2059" max="2059" width="11" style="15" customWidth="1"/>
    <col min="2060" max="2060" width="6.28515625" style="15" customWidth="1"/>
    <col min="2061" max="2061" width="11.28515625" style="15" customWidth="1"/>
    <col min="2062" max="2062" width="14.7109375" style="15" bestFit="1" customWidth="1"/>
    <col min="2063" max="2305" width="8.85546875" style="15"/>
    <col min="2306" max="2306" width="14.42578125" style="15" customWidth="1"/>
    <col min="2307" max="2307" width="16.42578125" style="15" customWidth="1"/>
    <col min="2308" max="2308" width="14.42578125" style="15" customWidth="1"/>
    <col min="2309" max="2311" width="8.85546875" style="15"/>
    <col min="2312" max="2312" width="10.28515625" style="15" bestFit="1" customWidth="1"/>
    <col min="2313" max="2313" width="10.140625" style="15" customWidth="1"/>
    <col min="2314" max="2314" width="11.42578125" style="15" customWidth="1"/>
    <col min="2315" max="2315" width="11" style="15" customWidth="1"/>
    <col min="2316" max="2316" width="6.28515625" style="15" customWidth="1"/>
    <col min="2317" max="2317" width="11.28515625" style="15" customWidth="1"/>
    <col min="2318" max="2318" width="14.7109375" style="15" bestFit="1" customWidth="1"/>
    <col min="2319" max="2561" width="8.85546875" style="15"/>
    <col min="2562" max="2562" width="14.42578125" style="15" customWidth="1"/>
    <col min="2563" max="2563" width="16.42578125" style="15" customWidth="1"/>
    <col min="2564" max="2564" width="14.42578125" style="15" customWidth="1"/>
    <col min="2565" max="2567" width="8.85546875" style="15"/>
    <col min="2568" max="2568" width="10.28515625" style="15" bestFit="1" customWidth="1"/>
    <col min="2569" max="2569" width="10.140625" style="15" customWidth="1"/>
    <col min="2570" max="2570" width="11.42578125" style="15" customWidth="1"/>
    <col min="2571" max="2571" width="11" style="15" customWidth="1"/>
    <col min="2572" max="2572" width="6.28515625" style="15" customWidth="1"/>
    <col min="2573" max="2573" width="11.28515625" style="15" customWidth="1"/>
    <col min="2574" max="2574" width="14.7109375" style="15" bestFit="1" customWidth="1"/>
    <col min="2575" max="2817" width="8.85546875" style="15"/>
    <col min="2818" max="2818" width="14.42578125" style="15" customWidth="1"/>
    <col min="2819" max="2819" width="16.42578125" style="15" customWidth="1"/>
    <col min="2820" max="2820" width="14.42578125" style="15" customWidth="1"/>
    <col min="2821" max="2823" width="8.85546875" style="15"/>
    <col min="2824" max="2824" width="10.28515625" style="15" bestFit="1" customWidth="1"/>
    <col min="2825" max="2825" width="10.140625" style="15" customWidth="1"/>
    <col min="2826" max="2826" width="11.42578125" style="15" customWidth="1"/>
    <col min="2827" max="2827" width="11" style="15" customWidth="1"/>
    <col min="2828" max="2828" width="6.28515625" style="15" customWidth="1"/>
    <col min="2829" max="2829" width="11.28515625" style="15" customWidth="1"/>
    <col min="2830" max="2830" width="14.7109375" style="15" bestFit="1" customWidth="1"/>
    <col min="2831" max="3073" width="8.85546875" style="15"/>
    <col min="3074" max="3074" width="14.42578125" style="15" customWidth="1"/>
    <col min="3075" max="3075" width="16.42578125" style="15" customWidth="1"/>
    <col min="3076" max="3076" width="14.42578125" style="15" customWidth="1"/>
    <col min="3077" max="3079" width="8.85546875" style="15"/>
    <col min="3080" max="3080" width="10.28515625" style="15" bestFit="1" customWidth="1"/>
    <col min="3081" max="3081" width="10.140625" style="15" customWidth="1"/>
    <col min="3082" max="3082" width="11.42578125" style="15" customWidth="1"/>
    <col min="3083" max="3083" width="11" style="15" customWidth="1"/>
    <col min="3084" max="3084" width="6.28515625" style="15" customWidth="1"/>
    <col min="3085" max="3085" width="11.28515625" style="15" customWidth="1"/>
    <col min="3086" max="3086" width="14.7109375" style="15" bestFit="1" customWidth="1"/>
    <col min="3087" max="3329" width="8.85546875" style="15"/>
    <col min="3330" max="3330" width="14.42578125" style="15" customWidth="1"/>
    <col min="3331" max="3331" width="16.42578125" style="15" customWidth="1"/>
    <col min="3332" max="3332" width="14.42578125" style="15" customWidth="1"/>
    <col min="3333" max="3335" width="8.85546875" style="15"/>
    <col min="3336" max="3336" width="10.28515625" style="15" bestFit="1" customWidth="1"/>
    <col min="3337" max="3337" width="10.140625" style="15" customWidth="1"/>
    <col min="3338" max="3338" width="11.42578125" style="15" customWidth="1"/>
    <col min="3339" max="3339" width="11" style="15" customWidth="1"/>
    <col min="3340" max="3340" width="6.28515625" style="15" customWidth="1"/>
    <col min="3341" max="3341" width="11.28515625" style="15" customWidth="1"/>
    <col min="3342" max="3342" width="14.7109375" style="15" bestFit="1" customWidth="1"/>
    <col min="3343" max="3585" width="8.85546875" style="15"/>
    <col min="3586" max="3586" width="14.42578125" style="15" customWidth="1"/>
    <col min="3587" max="3587" width="16.42578125" style="15" customWidth="1"/>
    <col min="3588" max="3588" width="14.42578125" style="15" customWidth="1"/>
    <col min="3589" max="3591" width="8.85546875" style="15"/>
    <col min="3592" max="3592" width="10.28515625" style="15" bestFit="1" customWidth="1"/>
    <col min="3593" max="3593" width="10.140625" style="15" customWidth="1"/>
    <col min="3594" max="3594" width="11.42578125" style="15" customWidth="1"/>
    <col min="3595" max="3595" width="11" style="15" customWidth="1"/>
    <col min="3596" max="3596" width="6.28515625" style="15" customWidth="1"/>
    <col min="3597" max="3597" width="11.28515625" style="15" customWidth="1"/>
    <col min="3598" max="3598" width="14.7109375" style="15" bestFit="1" customWidth="1"/>
    <col min="3599" max="3841" width="8.85546875" style="15"/>
    <col min="3842" max="3842" width="14.42578125" style="15" customWidth="1"/>
    <col min="3843" max="3843" width="16.42578125" style="15" customWidth="1"/>
    <col min="3844" max="3844" width="14.42578125" style="15" customWidth="1"/>
    <col min="3845" max="3847" width="8.85546875" style="15"/>
    <col min="3848" max="3848" width="10.28515625" style="15" bestFit="1" customWidth="1"/>
    <col min="3849" max="3849" width="10.140625" style="15" customWidth="1"/>
    <col min="3850" max="3850" width="11.42578125" style="15" customWidth="1"/>
    <col min="3851" max="3851" width="11" style="15" customWidth="1"/>
    <col min="3852" max="3852" width="6.28515625" style="15" customWidth="1"/>
    <col min="3853" max="3853" width="11.28515625" style="15" customWidth="1"/>
    <col min="3854" max="3854" width="14.7109375" style="15" bestFit="1" customWidth="1"/>
    <col min="3855" max="4097" width="8.85546875" style="15"/>
    <col min="4098" max="4098" width="14.42578125" style="15" customWidth="1"/>
    <col min="4099" max="4099" width="16.42578125" style="15" customWidth="1"/>
    <col min="4100" max="4100" width="14.42578125" style="15" customWidth="1"/>
    <col min="4101" max="4103" width="8.85546875" style="15"/>
    <col min="4104" max="4104" width="10.28515625" style="15" bestFit="1" customWidth="1"/>
    <col min="4105" max="4105" width="10.140625" style="15" customWidth="1"/>
    <col min="4106" max="4106" width="11.42578125" style="15" customWidth="1"/>
    <col min="4107" max="4107" width="11" style="15" customWidth="1"/>
    <col min="4108" max="4108" width="6.28515625" style="15" customWidth="1"/>
    <col min="4109" max="4109" width="11.28515625" style="15" customWidth="1"/>
    <col min="4110" max="4110" width="14.7109375" style="15" bestFit="1" customWidth="1"/>
    <col min="4111" max="4353" width="8.85546875" style="15"/>
    <col min="4354" max="4354" width="14.42578125" style="15" customWidth="1"/>
    <col min="4355" max="4355" width="16.42578125" style="15" customWidth="1"/>
    <col min="4356" max="4356" width="14.42578125" style="15" customWidth="1"/>
    <col min="4357" max="4359" width="8.85546875" style="15"/>
    <col min="4360" max="4360" width="10.28515625" style="15" bestFit="1" customWidth="1"/>
    <col min="4361" max="4361" width="10.140625" style="15" customWidth="1"/>
    <col min="4362" max="4362" width="11.42578125" style="15" customWidth="1"/>
    <col min="4363" max="4363" width="11" style="15" customWidth="1"/>
    <col min="4364" max="4364" width="6.28515625" style="15" customWidth="1"/>
    <col min="4365" max="4365" width="11.28515625" style="15" customWidth="1"/>
    <col min="4366" max="4366" width="14.7109375" style="15" bestFit="1" customWidth="1"/>
    <col min="4367" max="4609" width="8.85546875" style="15"/>
    <col min="4610" max="4610" width="14.42578125" style="15" customWidth="1"/>
    <col min="4611" max="4611" width="16.42578125" style="15" customWidth="1"/>
    <col min="4612" max="4612" width="14.42578125" style="15" customWidth="1"/>
    <col min="4613" max="4615" width="8.85546875" style="15"/>
    <col min="4616" max="4616" width="10.28515625" style="15" bestFit="1" customWidth="1"/>
    <col min="4617" max="4617" width="10.140625" style="15" customWidth="1"/>
    <col min="4618" max="4618" width="11.42578125" style="15" customWidth="1"/>
    <col min="4619" max="4619" width="11" style="15" customWidth="1"/>
    <col min="4620" max="4620" width="6.28515625" style="15" customWidth="1"/>
    <col min="4621" max="4621" width="11.28515625" style="15" customWidth="1"/>
    <col min="4622" max="4622" width="14.7109375" style="15" bestFit="1" customWidth="1"/>
    <col min="4623" max="4865" width="8.85546875" style="15"/>
    <col min="4866" max="4866" width="14.42578125" style="15" customWidth="1"/>
    <col min="4867" max="4867" width="16.42578125" style="15" customWidth="1"/>
    <col min="4868" max="4868" width="14.42578125" style="15" customWidth="1"/>
    <col min="4869" max="4871" width="8.85546875" style="15"/>
    <col min="4872" max="4872" width="10.28515625" style="15" bestFit="1" customWidth="1"/>
    <col min="4873" max="4873" width="10.140625" style="15" customWidth="1"/>
    <col min="4874" max="4874" width="11.42578125" style="15" customWidth="1"/>
    <col min="4875" max="4875" width="11" style="15" customWidth="1"/>
    <col min="4876" max="4876" width="6.28515625" style="15" customWidth="1"/>
    <col min="4877" max="4877" width="11.28515625" style="15" customWidth="1"/>
    <col min="4878" max="4878" width="14.7109375" style="15" bestFit="1" customWidth="1"/>
    <col min="4879" max="5121" width="8.85546875" style="15"/>
    <col min="5122" max="5122" width="14.42578125" style="15" customWidth="1"/>
    <col min="5123" max="5123" width="16.42578125" style="15" customWidth="1"/>
    <col min="5124" max="5124" width="14.42578125" style="15" customWidth="1"/>
    <col min="5125" max="5127" width="8.85546875" style="15"/>
    <col min="5128" max="5128" width="10.28515625" style="15" bestFit="1" customWidth="1"/>
    <col min="5129" max="5129" width="10.140625" style="15" customWidth="1"/>
    <col min="5130" max="5130" width="11.42578125" style="15" customWidth="1"/>
    <col min="5131" max="5131" width="11" style="15" customWidth="1"/>
    <col min="5132" max="5132" width="6.28515625" style="15" customWidth="1"/>
    <col min="5133" max="5133" width="11.28515625" style="15" customWidth="1"/>
    <col min="5134" max="5134" width="14.7109375" style="15" bestFit="1" customWidth="1"/>
    <col min="5135" max="5377" width="8.85546875" style="15"/>
    <col min="5378" max="5378" width="14.42578125" style="15" customWidth="1"/>
    <col min="5379" max="5379" width="16.42578125" style="15" customWidth="1"/>
    <col min="5380" max="5380" width="14.42578125" style="15" customWidth="1"/>
    <col min="5381" max="5383" width="8.85546875" style="15"/>
    <col min="5384" max="5384" width="10.28515625" style="15" bestFit="1" customWidth="1"/>
    <col min="5385" max="5385" width="10.140625" style="15" customWidth="1"/>
    <col min="5386" max="5386" width="11.42578125" style="15" customWidth="1"/>
    <col min="5387" max="5387" width="11" style="15" customWidth="1"/>
    <col min="5388" max="5388" width="6.28515625" style="15" customWidth="1"/>
    <col min="5389" max="5389" width="11.28515625" style="15" customWidth="1"/>
    <col min="5390" max="5390" width="14.7109375" style="15" bestFit="1" customWidth="1"/>
    <col min="5391" max="5633" width="8.85546875" style="15"/>
    <col min="5634" max="5634" width="14.42578125" style="15" customWidth="1"/>
    <col min="5635" max="5635" width="16.42578125" style="15" customWidth="1"/>
    <col min="5636" max="5636" width="14.42578125" style="15" customWidth="1"/>
    <col min="5637" max="5639" width="8.85546875" style="15"/>
    <col min="5640" max="5640" width="10.28515625" style="15" bestFit="1" customWidth="1"/>
    <col min="5641" max="5641" width="10.140625" style="15" customWidth="1"/>
    <col min="5642" max="5642" width="11.42578125" style="15" customWidth="1"/>
    <col min="5643" max="5643" width="11" style="15" customWidth="1"/>
    <col min="5644" max="5644" width="6.28515625" style="15" customWidth="1"/>
    <col min="5645" max="5645" width="11.28515625" style="15" customWidth="1"/>
    <col min="5646" max="5646" width="14.7109375" style="15" bestFit="1" customWidth="1"/>
    <col min="5647" max="5889" width="8.85546875" style="15"/>
    <col min="5890" max="5890" width="14.42578125" style="15" customWidth="1"/>
    <col min="5891" max="5891" width="16.42578125" style="15" customWidth="1"/>
    <col min="5892" max="5892" width="14.42578125" style="15" customWidth="1"/>
    <col min="5893" max="5895" width="8.85546875" style="15"/>
    <col min="5896" max="5896" width="10.28515625" style="15" bestFit="1" customWidth="1"/>
    <col min="5897" max="5897" width="10.140625" style="15" customWidth="1"/>
    <col min="5898" max="5898" width="11.42578125" style="15" customWidth="1"/>
    <col min="5899" max="5899" width="11" style="15" customWidth="1"/>
    <col min="5900" max="5900" width="6.28515625" style="15" customWidth="1"/>
    <col min="5901" max="5901" width="11.28515625" style="15" customWidth="1"/>
    <col min="5902" max="5902" width="14.7109375" style="15" bestFit="1" customWidth="1"/>
    <col min="5903" max="6145" width="8.85546875" style="15"/>
    <col min="6146" max="6146" width="14.42578125" style="15" customWidth="1"/>
    <col min="6147" max="6147" width="16.42578125" style="15" customWidth="1"/>
    <col min="6148" max="6148" width="14.42578125" style="15" customWidth="1"/>
    <col min="6149" max="6151" width="8.85546875" style="15"/>
    <col min="6152" max="6152" width="10.28515625" style="15" bestFit="1" customWidth="1"/>
    <col min="6153" max="6153" width="10.140625" style="15" customWidth="1"/>
    <col min="6154" max="6154" width="11.42578125" style="15" customWidth="1"/>
    <col min="6155" max="6155" width="11" style="15" customWidth="1"/>
    <col min="6156" max="6156" width="6.28515625" style="15" customWidth="1"/>
    <col min="6157" max="6157" width="11.28515625" style="15" customWidth="1"/>
    <col min="6158" max="6158" width="14.7109375" style="15" bestFit="1" customWidth="1"/>
    <col min="6159" max="6401" width="8.85546875" style="15"/>
    <col min="6402" max="6402" width="14.42578125" style="15" customWidth="1"/>
    <col min="6403" max="6403" width="16.42578125" style="15" customWidth="1"/>
    <col min="6404" max="6404" width="14.42578125" style="15" customWidth="1"/>
    <col min="6405" max="6407" width="8.85546875" style="15"/>
    <col min="6408" max="6408" width="10.28515625" style="15" bestFit="1" customWidth="1"/>
    <col min="6409" max="6409" width="10.140625" style="15" customWidth="1"/>
    <col min="6410" max="6410" width="11.42578125" style="15" customWidth="1"/>
    <col min="6411" max="6411" width="11" style="15" customWidth="1"/>
    <col min="6412" max="6412" width="6.28515625" style="15" customWidth="1"/>
    <col min="6413" max="6413" width="11.28515625" style="15" customWidth="1"/>
    <col min="6414" max="6414" width="14.7109375" style="15" bestFit="1" customWidth="1"/>
    <col min="6415" max="6657" width="8.85546875" style="15"/>
    <col min="6658" max="6658" width="14.42578125" style="15" customWidth="1"/>
    <col min="6659" max="6659" width="16.42578125" style="15" customWidth="1"/>
    <col min="6660" max="6660" width="14.42578125" style="15" customWidth="1"/>
    <col min="6661" max="6663" width="8.85546875" style="15"/>
    <col min="6664" max="6664" width="10.28515625" style="15" bestFit="1" customWidth="1"/>
    <col min="6665" max="6665" width="10.140625" style="15" customWidth="1"/>
    <col min="6666" max="6666" width="11.42578125" style="15" customWidth="1"/>
    <col min="6667" max="6667" width="11" style="15" customWidth="1"/>
    <col min="6668" max="6668" width="6.28515625" style="15" customWidth="1"/>
    <col min="6669" max="6669" width="11.28515625" style="15" customWidth="1"/>
    <col min="6670" max="6670" width="14.7109375" style="15" bestFit="1" customWidth="1"/>
    <col min="6671" max="6913" width="8.85546875" style="15"/>
    <col min="6914" max="6914" width="14.42578125" style="15" customWidth="1"/>
    <col min="6915" max="6915" width="16.42578125" style="15" customWidth="1"/>
    <col min="6916" max="6916" width="14.42578125" style="15" customWidth="1"/>
    <col min="6917" max="6919" width="8.85546875" style="15"/>
    <col min="6920" max="6920" width="10.28515625" style="15" bestFit="1" customWidth="1"/>
    <col min="6921" max="6921" width="10.140625" style="15" customWidth="1"/>
    <col min="6922" max="6922" width="11.42578125" style="15" customWidth="1"/>
    <col min="6923" max="6923" width="11" style="15" customWidth="1"/>
    <col min="6924" max="6924" width="6.28515625" style="15" customWidth="1"/>
    <col min="6925" max="6925" width="11.28515625" style="15" customWidth="1"/>
    <col min="6926" max="6926" width="14.7109375" style="15" bestFit="1" customWidth="1"/>
    <col min="6927" max="7169" width="8.85546875" style="15"/>
    <col min="7170" max="7170" width="14.42578125" style="15" customWidth="1"/>
    <col min="7171" max="7171" width="16.42578125" style="15" customWidth="1"/>
    <col min="7172" max="7172" width="14.42578125" style="15" customWidth="1"/>
    <col min="7173" max="7175" width="8.85546875" style="15"/>
    <col min="7176" max="7176" width="10.28515625" style="15" bestFit="1" customWidth="1"/>
    <col min="7177" max="7177" width="10.140625" style="15" customWidth="1"/>
    <col min="7178" max="7178" width="11.42578125" style="15" customWidth="1"/>
    <col min="7179" max="7179" width="11" style="15" customWidth="1"/>
    <col min="7180" max="7180" width="6.28515625" style="15" customWidth="1"/>
    <col min="7181" max="7181" width="11.28515625" style="15" customWidth="1"/>
    <col min="7182" max="7182" width="14.7109375" style="15" bestFit="1" customWidth="1"/>
    <col min="7183" max="7425" width="8.85546875" style="15"/>
    <col min="7426" max="7426" width="14.42578125" style="15" customWidth="1"/>
    <col min="7427" max="7427" width="16.42578125" style="15" customWidth="1"/>
    <col min="7428" max="7428" width="14.42578125" style="15" customWidth="1"/>
    <col min="7429" max="7431" width="8.85546875" style="15"/>
    <col min="7432" max="7432" width="10.28515625" style="15" bestFit="1" customWidth="1"/>
    <col min="7433" max="7433" width="10.140625" style="15" customWidth="1"/>
    <col min="7434" max="7434" width="11.42578125" style="15" customWidth="1"/>
    <col min="7435" max="7435" width="11" style="15" customWidth="1"/>
    <col min="7436" max="7436" width="6.28515625" style="15" customWidth="1"/>
    <col min="7437" max="7437" width="11.28515625" style="15" customWidth="1"/>
    <col min="7438" max="7438" width="14.7109375" style="15" bestFit="1" customWidth="1"/>
    <col min="7439" max="7681" width="8.85546875" style="15"/>
    <col min="7682" max="7682" width="14.42578125" style="15" customWidth="1"/>
    <col min="7683" max="7683" width="16.42578125" style="15" customWidth="1"/>
    <col min="7684" max="7684" width="14.42578125" style="15" customWidth="1"/>
    <col min="7685" max="7687" width="8.85546875" style="15"/>
    <col min="7688" max="7688" width="10.28515625" style="15" bestFit="1" customWidth="1"/>
    <col min="7689" max="7689" width="10.140625" style="15" customWidth="1"/>
    <col min="7690" max="7690" width="11.42578125" style="15" customWidth="1"/>
    <col min="7691" max="7691" width="11" style="15" customWidth="1"/>
    <col min="7692" max="7692" width="6.28515625" style="15" customWidth="1"/>
    <col min="7693" max="7693" width="11.28515625" style="15" customWidth="1"/>
    <col min="7694" max="7694" width="14.7109375" style="15" bestFit="1" customWidth="1"/>
    <col min="7695" max="7937" width="8.85546875" style="15"/>
    <col min="7938" max="7938" width="14.42578125" style="15" customWidth="1"/>
    <col min="7939" max="7939" width="16.42578125" style="15" customWidth="1"/>
    <col min="7940" max="7940" width="14.42578125" style="15" customWidth="1"/>
    <col min="7941" max="7943" width="8.85546875" style="15"/>
    <col min="7944" max="7944" width="10.28515625" style="15" bestFit="1" customWidth="1"/>
    <col min="7945" max="7945" width="10.140625" style="15" customWidth="1"/>
    <col min="7946" max="7946" width="11.42578125" style="15" customWidth="1"/>
    <col min="7947" max="7947" width="11" style="15" customWidth="1"/>
    <col min="7948" max="7948" width="6.28515625" style="15" customWidth="1"/>
    <col min="7949" max="7949" width="11.28515625" style="15" customWidth="1"/>
    <col min="7950" max="7950" width="14.7109375" style="15" bestFit="1" customWidth="1"/>
    <col min="7951" max="8193" width="8.85546875" style="15"/>
    <col min="8194" max="8194" width="14.42578125" style="15" customWidth="1"/>
    <col min="8195" max="8195" width="16.42578125" style="15" customWidth="1"/>
    <col min="8196" max="8196" width="14.42578125" style="15" customWidth="1"/>
    <col min="8197" max="8199" width="8.85546875" style="15"/>
    <col min="8200" max="8200" width="10.28515625" style="15" bestFit="1" customWidth="1"/>
    <col min="8201" max="8201" width="10.140625" style="15" customWidth="1"/>
    <col min="8202" max="8202" width="11.42578125" style="15" customWidth="1"/>
    <col min="8203" max="8203" width="11" style="15" customWidth="1"/>
    <col min="8204" max="8204" width="6.28515625" style="15" customWidth="1"/>
    <col min="8205" max="8205" width="11.28515625" style="15" customWidth="1"/>
    <col min="8206" max="8206" width="14.7109375" style="15" bestFit="1" customWidth="1"/>
    <col min="8207" max="8449" width="8.85546875" style="15"/>
    <col min="8450" max="8450" width="14.42578125" style="15" customWidth="1"/>
    <col min="8451" max="8451" width="16.42578125" style="15" customWidth="1"/>
    <col min="8452" max="8452" width="14.42578125" style="15" customWidth="1"/>
    <col min="8453" max="8455" width="8.85546875" style="15"/>
    <col min="8456" max="8456" width="10.28515625" style="15" bestFit="1" customWidth="1"/>
    <col min="8457" max="8457" width="10.140625" style="15" customWidth="1"/>
    <col min="8458" max="8458" width="11.42578125" style="15" customWidth="1"/>
    <col min="8459" max="8459" width="11" style="15" customWidth="1"/>
    <col min="8460" max="8460" width="6.28515625" style="15" customWidth="1"/>
    <col min="8461" max="8461" width="11.28515625" style="15" customWidth="1"/>
    <col min="8462" max="8462" width="14.7109375" style="15" bestFit="1" customWidth="1"/>
    <col min="8463" max="8705" width="8.85546875" style="15"/>
    <col min="8706" max="8706" width="14.42578125" style="15" customWidth="1"/>
    <col min="8707" max="8707" width="16.42578125" style="15" customWidth="1"/>
    <col min="8708" max="8708" width="14.42578125" style="15" customWidth="1"/>
    <col min="8709" max="8711" width="8.85546875" style="15"/>
    <col min="8712" max="8712" width="10.28515625" style="15" bestFit="1" customWidth="1"/>
    <col min="8713" max="8713" width="10.140625" style="15" customWidth="1"/>
    <col min="8714" max="8714" width="11.42578125" style="15" customWidth="1"/>
    <col min="8715" max="8715" width="11" style="15" customWidth="1"/>
    <col min="8716" max="8716" width="6.28515625" style="15" customWidth="1"/>
    <col min="8717" max="8717" width="11.28515625" style="15" customWidth="1"/>
    <col min="8718" max="8718" width="14.7109375" style="15" bestFit="1" customWidth="1"/>
    <col min="8719" max="8961" width="8.85546875" style="15"/>
    <col min="8962" max="8962" width="14.42578125" style="15" customWidth="1"/>
    <col min="8963" max="8963" width="16.42578125" style="15" customWidth="1"/>
    <col min="8964" max="8964" width="14.42578125" style="15" customWidth="1"/>
    <col min="8965" max="8967" width="8.85546875" style="15"/>
    <col min="8968" max="8968" width="10.28515625" style="15" bestFit="1" customWidth="1"/>
    <col min="8969" max="8969" width="10.140625" style="15" customWidth="1"/>
    <col min="8970" max="8970" width="11.42578125" style="15" customWidth="1"/>
    <col min="8971" max="8971" width="11" style="15" customWidth="1"/>
    <col min="8972" max="8972" width="6.28515625" style="15" customWidth="1"/>
    <col min="8973" max="8973" width="11.28515625" style="15" customWidth="1"/>
    <col min="8974" max="8974" width="14.7109375" style="15" bestFit="1" customWidth="1"/>
    <col min="8975" max="9217" width="8.85546875" style="15"/>
    <col min="9218" max="9218" width="14.42578125" style="15" customWidth="1"/>
    <col min="9219" max="9219" width="16.42578125" style="15" customWidth="1"/>
    <col min="9220" max="9220" width="14.42578125" style="15" customWidth="1"/>
    <col min="9221" max="9223" width="8.85546875" style="15"/>
    <col min="9224" max="9224" width="10.28515625" style="15" bestFit="1" customWidth="1"/>
    <col min="9225" max="9225" width="10.140625" style="15" customWidth="1"/>
    <col min="9226" max="9226" width="11.42578125" style="15" customWidth="1"/>
    <col min="9227" max="9227" width="11" style="15" customWidth="1"/>
    <col min="9228" max="9228" width="6.28515625" style="15" customWidth="1"/>
    <col min="9229" max="9229" width="11.28515625" style="15" customWidth="1"/>
    <col min="9230" max="9230" width="14.7109375" style="15" bestFit="1" customWidth="1"/>
    <col min="9231" max="9473" width="8.85546875" style="15"/>
    <col min="9474" max="9474" width="14.42578125" style="15" customWidth="1"/>
    <col min="9475" max="9475" width="16.42578125" style="15" customWidth="1"/>
    <col min="9476" max="9476" width="14.42578125" style="15" customWidth="1"/>
    <col min="9477" max="9479" width="8.85546875" style="15"/>
    <col min="9480" max="9480" width="10.28515625" style="15" bestFit="1" customWidth="1"/>
    <col min="9481" max="9481" width="10.140625" style="15" customWidth="1"/>
    <col min="9482" max="9482" width="11.42578125" style="15" customWidth="1"/>
    <col min="9483" max="9483" width="11" style="15" customWidth="1"/>
    <col min="9484" max="9484" width="6.28515625" style="15" customWidth="1"/>
    <col min="9485" max="9485" width="11.28515625" style="15" customWidth="1"/>
    <col min="9486" max="9486" width="14.7109375" style="15" bestFit="1" customWidth="1"/>
    <col min="9487" max="9729" width="8.85546875" style="15"/>
    <col min="9730" max="9730" width="14.42578125" style="15" customWidth="1"/>
    <col min="9731" max="9731" width="16.42578125" style="15" customWidth="1"/>
    <col min="9732" max="9732" width="14.42578125" style="15" customWidth="1"/>
    <col min="9733" max="9735" width="8.85546875" style="15"/>
    <col min="9736" max="9736" width="10.28515625" style="15" bestFit="1" customWidth="1"/>
    <col min="9737" max="9737" width="10.140625" style="15" customWidth="1"/>
    <col min="9738" max="9738" width="11.42578125" style="15" customWidth="1"/>
    <col min="9739" max="9739" width="11" style="15" customWidth="1"/>
    <col min="9740" max="9740" width="6.28515625" style="15" customWidth="1"/>
    <col min="9741" max="9741" width="11.28515625" style="15" customWidth="1"/>
    <col min="9742" max="9742" width="14.7109375" style="15" bestFit="1" customWidth="1"/>
    <col min="9743" max="9985" width="8.85546875" style="15"/>
    <col min="9986" max="9986" width="14.42578125" style="15" customWidth="1"/>
    <col min="9987" max="9987" width="16.42578125" style="15" customWidth="1"/>
    <col min="9988" max="9988" width="14.42578125" style="15" customWidth="1"/>
    <col min="9989" max="9991" width="8.85546875" style="15"/>
    <col min="9992" max="9992" width="10.28515625" style="15" bestFit="1" customWidth="1"/>
    <col min="9993" max="9993" width="10.140625" style="15" customWidth="1"/>
    <col min="9994" max="9994" width="11.42578125" style="15" customWidth="1"/>
    <col min="9995" max="9995" width="11" style="15" customWidth="1"/>
    <col min="9996" max="9996" width="6.28515625" style="15" customWidth="1"/>
    <col min="9997" max="9997" width="11.28515625" style="15" customWidth="1"/>
    <col min="9998" max="9998" width="14.7109375" style="15" bestFit="1" customWidth="1"/>
    <col min="9999" max="10241" width="8.85546875" style="15"/>
    <col min="10242" max="10242" width="14.42578125" style="15" customWidth="1"/>
    <col min="10243" max="10243" width="16.42578125" style="15" customWidth="1"/>
    <col min="10244" max="10244" width="14.42578125" style="15" customWidth="1"/>
    <col min="10245" max="10247" width="8.85546875" style="15"/>
    <col min="10248" max="10248" width="10.28515625" style="15" bestFit="1" customWidth="1"/>
    <col min="10249" max="10249" width="10.140625" style="15" customWidth="1"/>
    <col min="10250" max="10250" width="11.42578125" style="15" customWidth="1"/>
    <col min="10251" max="10251" width="11" style="15" customWidth="1"/>
    <col min="10252" max="10252" width="6.28515625" style="15" customWidth="1"/>
    <col min="10253" max="10253" width="11.28515625" style="15" customWidth="1"/>
    <col min="10254" max="10254" width="14.7109375" style="15" bestFit="1" customWidth="1"/>
    <col min="10255" max="10497" width="8.85546875" style="15"/>
    <col min="10498" max="10498" width="14.42578125" style="15" customWidth="1"/>
    <col min="10499" max="10499" width="16.42578125" style="15" customWidth="1"/>
    <col min="10500" max="10500" width="14.42578125" style="15" customWidth="1"/>
    <col min="10501" max="10503" width="8.85546875" style="15"/>
    <col min="10504" max="10504" width="10.28515625" style="15" bestFit="1" customWidth="1"/>
    <col min="10505" max="10505" width="10.140625" style="15" customWidth="1"/>
    <col min="10506" max="10506" width="11.42578125" style="15" customWidth="1"/>
    <col min="10507" max="10507" width="11" style="15" customWidth="1"/>
    <col min="10508" max="10508" width="6.28515625" style="15" customWidth="1"/>
    <col min="10509" max="10509" width="11.28515625" style="15" customWidth="1"/>
    <col min="10510" max="10510" width="14.7109375" style="15" bestFit="1" customWidth="1"/>
    <col min="10511" max="10753" width="8.85546875" style="15"/>
    <col min="10754" max="10754" width="14.42578125" style="15" customWidth="1"/>
    <col min="10755" max="10755" width="16.42578125" style="15" customWidth="1"/>
    <col min="10756" max="10756" width="14.42578125" style="15" customWidth="1"/>
    <col min="10757" max="10759" width="8.85546875" style="15"/>
    <col min="10760" max="10760" width="10.28515625" style="15" bestFit="1" customWidth="1"/>
    <col min="10761" max="10761" width="10.140625" style="15" customWidth="1"/>
    <col min="10762" max="10762" width="11.42578125" style="15" customWidth="1"/>
    <col min="10763" max="10763" width="11" style="15" customWidth="1"/>
    <col min="10764" max="10764" width="6.28515625" style="15" customWidth="1"/>
    <col min="10765" max="10765" width="11.28515625" style="15" customWidth="1"/>
    <col min="10766" max="10766" width="14.7109375" style="15" bestFit="1" customWidth="1"/>
    <col min="10767" max="11009" width="8.85546875" style="15"/>
    <col min="11010" max="11010" width="14.42578125" style="15" customWidth="1"/>
    <col min="11011" max="11011" width="16.42578125" style="15" customWidth="1"/>
    <col min="11012" max="11012" width="14.42578125" style="15" customWidth="1"/>
    <col min="11013" max="11015" width="8.85546875" style="15"/>
    <col min="11016" max="11016" width="10.28515625" style="15" bestFit="1" customWidth="1"/>
    <col min="11017" max="11017" width="10.140625" style="15" customWidth="1"/>
    <col min="11018" max="11018" width="11.42578125" style="15" customWidth="1"/>
    <col min="11019" max="11019" width="11" style="15" customWidth="1"/>
    <col min="11020" max="11020" width="6.28515625" style="15" customWidth="1"/>
    <col min="11021" max="11021" width="11.28515625" style="15" customWidth="1"/>
    <col min="11022" max="11022" width="14.7109375" style="15" bestFit="1" customWidth="1"/>
    <col min="11023" max="11265" width="8.85546875" style="15"/>
    <col min="11266" max="11266" width="14.42578125" style="15" customWidth="1"/>
    <col min="11267" max="11267" width="16.42578125" style="15" customWidth="1"/>
    <col min="11268" max="11268" width="14.42578125" style="15" customWidth="1"/>
    <col min="11269" max="11271" width="8.85546875" style="15"/>
    <col min="11272" max="11272" width="10.28515625" style="15" bestFit="1" customWidth="1"/>
    <col min="11273" max="11273" width="10.140625" style="15" customWidth="1"/>
    <col min="11274" max="11274" width="11.42578125" style="15" customWidth="1"/>
    <col min="11275" max="11275" width="11" style="15" customWidth="1"/>
    <col min="11276" max="11276" width="6.28515625" style="15" customWidth="1"/>
    <col min="11277" max="11277" width="11.28515625" style="15" customWidth="1"/>
    <col min="11278" max="11278" width="14.7109375" style="15" bestFit="1" customWidth="1"/>
    <col min="11279" max="11521" width="8.85546875" style="15"/>
    <col min="11522" max="11522" width="14.42578125" style="15" customWidth="1"/>
    <col min="11523" max="11523" width="16.42578125" style="15" customWidth="1"/>
    <col min="11524" max="11524" width="14.42578125" style="15" customWidth="1"/>
    <col min="11525" max="11527" width="8.85546875" style="15"/>
    <col min="11528" max="11528" width="10.28515625" style="15" bestFit="1" customWidth="1"/>
    <col min="11529" max="11529" width="10.140625" style="15" customWidth="1"/>
    <col min="11530" max="11530" width="11.42578125" style="15" customWidth="1"/>
    <col min="11531" max="11531" width="11" style="15" customWidth="1"/>
    <col min="11532" max="11532" width="6.28515625" style="15" customWidth="1"/>
    <col min="11533" max="11533" width="11.28515625" style="15" customWidth="1"/>
    <col min="11534" max="11534" width="14.7109375" style="15" bestFit="1" customWidth="1"/>
    <col min="11535" max="11777" width="8.85546875" style="15"/>
    <col min="11778" max="11778" width="14.42578125" style="15" customWidth="1"/>
    <col min="11779" max="11779" width="16.42578125" style="15" customWidth="1"/>
    <col min="11780" max="11780" width="14.42578125" style="15" customWidth="1"/>
    <col min="11781" max="11783" width="8.85546875" style="15"/>
    <col min="11784" max="11784" width="10.28515625" style="15" bestFit="1" customWidth="1"/>
    <col min="11785" max="11785" width="10.140625" style="15" customWidth="1"/>
    <col min="11786" max="11786" width="11.42578125" style="15" customWidth="1"/>
    <col min="11787" max="11787" width="11" style="15" customWidth="1"/>
    <col min="11788" max="11788" width="6.28515625" style="15" customWidth="1"/>
    <col min="11789" max="11789" width="11.28515625" style="15" customWidth="1"/>
    <col min="11790" max="11790" width="14.7109375" style="15" bestFit="1" customWidth="1"/>
    <col min="11791" max="12033" width="8.85546875" style="15"/>
    <col min="12034" max="12034" width="14.42578125" style="15" customWidth="1"/>
    <col min="12035" max="12035" width="16.42578125" style="15" customWidth="1"/>
    <col min="12036" max="12036" width="14.42578125" style="15" customWidth="1"/>
    <col min="12037" max="12039" width="8.85546875" style="15"/>
    <col min="12040" max="12040" width="10.28515625" style="15" bestFit="1" customWidth="1"/>
    <col min="12041" max="12041" width="10.140625" style="15" customWidth="1"/>
    <col min="12042" max="12042" width="11.42578125" style="15" customWidth="1"/>
    <col min="12043" max="12043" width="11" style="15" customWidth="1"/>
    <col min="12044" max="12044" width="6.28515625" style="15" customWidth="1"/>
    <col min="12045" max="12045" width="11.28515625" style="15" customWidth="1"/>
    <col min="12046" max="12046" width="14.7109375" style="15" bestFit="1" customWidth="1"/>
    <col min="12047" max="12289" width="8.85546875" style="15"/>
    <col min="12290" max="12290" width="14.42578125" style="15" customWidth="1"/>
    <col min="12291" max="12291" width="16.42578125" style="15" customWidth="1"/>
    <col min="12292" max="12292" width="14.42578125" style="15" customWidth="1"/>
    <col min="12293" max="12295" width="8.85546875" style="15"/>
    <col min="12296" max="12296" width="10.28515625" style="15" bestFit="1" customWidth="1"/>
    <col min="12297" max="12297" width="10.140625" style="15" customWidth="1"/>
    <col min="12298" max="12298" width="11.42578125" style="15" customWidth="1"/>
    <col min="12299" max="12299" width="11" style="15" customWidth="1"/>
    <col min="12300" max="12300" width="6.28515625" style="15" customWidth="1"/>
    <col min="12301" max="12301" width="11.28515625" style="15" customWidth="1"/>
    <col min="12302" max="12302" width="14.7109375" style="15" bestFit="1" customWidth="1"/>
    <col min="12303" max="12545" width="8.85546875" style="15"/>
    <col min="12546" max="12546" width="14.42578125" style="15" customWidth="1"/>
    <col min="12547" max="12547" width="16.42578125" style="15" customWidth="1"/>
    <col min="12548" max="12548" width="14.42578125" style="15" customWidth="1"/>
    <col min="12549" max="12551" width="8.85546875" style="15"/>
    <col min="12552" max="12552" width="10.28515625" style="15" bestFit="1" customWidth="1"/>
    <col min="12553" max="12553" width="10.140625" style="15" customWidth="1"/>
    <col min="12554" max="12554" width="11.42578125" style="15" customWidth="1"/>
    <col min="12555" max="12555" width="11" style="15" customWidth="1"/>
    <col min="12556" max="12556" width="6.28515625" style="15" customWidth="1"/>
    <col min="12557" max="12557" width="11.28515625" style="15" customWidth="1"/>
    <col min="12558" max="12558" width="14.7109375" style="15" bestFit="1" customWidth="1"/>
    <col min="12559" max="12801" width="8.85546875" style="15"/>
    <col min="12802" max="12802" width="14.42578125" style="15" customWidth="1"/>
    <col min="12803" max="12803" width="16.42578125" style="15" customWidth="1"/>
    <col min="12804" max="12804" width="14.42578125" style="15" customWidth="1"/>
    <col min="12805" max="12807" width="8.85546875" style="15"/>
    <col min="12808" max="12808" width="10.28515625" style="15" bestFit="1" customWidth="1"/>
    <col min="12809" max="12809" width="10.140625" style="15" customWidth="1"/>
    <col min="12810" max="12810" width="11.42578125" style="15" customWidth="1"/>
    <col min="12811" max="12811" width="11" style="15" customWidth="1"/>
    <col min="12812" max="12812" width="6.28515625" style="15" customWidth="1"/>
    <col min="12813" max="12813" width="11.28515625" style="15" customWidth="1"/>
    <col min="12814" max="12814" width="14.7109375" style="15" bestFit="1" customWidth="1"/>
    <col min="12815" max="13057" width="8.85546875" style="15"/>
    <col min="13058" max="13058" width="14.42578125" style="15" customWidth="1"/>
    <col min="13059" max="13059" width="16.42578125" style="15" customWidth="1"/>
    <col min="13060" max="13060" width="14.42578125" style="15" customWidth="1"/>
    <col min="13061" max="13063" width="8.85546875" style="15"/>
    <col min="13064" max="13064" width="10.28515625" style="15" bestFit="1" customWidth="1"/>
    <col min="13065" max="13065" width="10.140625" style="15" customWidth="1"/>
    <col min="13066" max="13066" width="11.42578125" style="15" customWidth="1"/>
    <col min="13067" max="13067" width="11" style="15" customWidth="1"/>
    <col min="13068" max="13068" width="6.28515625" style="15" customWidth="1"/>
    <col min="13069" max="13069" width="11.28515625" style="15" customWidth="1"/>
    <col min="13070" max="13070" width="14.7109375" style="15" bestFit="1" customWidth="1"/>
    <col min="13071" max="13313" width="8.85546875" style="15"/>
    <col min="13314" max="13314" width="14.42578125" style="15" customWidth="1"/>
    <col min="13315" max="13315" width="16.42578125" style="15" customWidth="1"/>
    <col min="13316" max="13316" width="14.42578125" style="15" customWidth="1"/>
    <col min="13317" max="13319" width="8.85546875" style="15"/>
    <col min="13320" max="13320" width="10.28515625" style="15" bestFit="1" customWidth="1"/>
    <col min="13321" max="13321" width="10.140625" style="15" customWidth="1"/>
    <col min="13322" max="13322" width="11.42578125" style="15" customWidth="1"/>
    <col min="13323" max="13323" width="11" style="15" customWidth="1"/>
    <col min="13324" max="13324" width="6.28515625" style="15" customWidth="1"/>
    <col min="13325" max="13325" width="11.28515625" style="15" customWidth="1"/>
    <col min="13326" max="13326" width="14.7109375" style="15" bestFit="1" customWidth="1"/>
    <col min="13327" max="13569" width="8.85546875" style="15"/>
    <col min="13570" max="13570" width="14.42578125" style="15" customWidth="1"/>
    <col min="13571" max="13571" width="16.42578125" style="15" customWidth="1"/>
    <col min="13572" max="13572" width="14.42578125" style="15" customWidth="1"/>
    <col min="13573" max="13575" width="8.85546875" style="15"/>
    <col min="13576" max="13576" width="10.28515625" style="15" bestFit="1" customWidth="1"/>
    <col min="13577" max="13577" width="10.140625" style="15" customWidth="1"/>
    <col min="13578" max="13578" width="11.42578125" style="15" customWidth="1"/>
    <col min="13579" max="13579" width="11" style="15" customWidth="1"/>
    <col min="13580" max="13580" width="6.28515625" style="15" customWidth="1"/>
    <col min="13581" max="13581" width="11.28515625" style="15" customWidth="1"/>
    <col min="13582" max="13582" width="14.7109375" style="15" bestFit="1" customWidth="1"/>
    <col min="13583" max="13825" width="8.85546875" style="15"/>
    <col min="13826" max="13826" width="14.42578125" style="15" customWidth="1"/>
    <col min="13827" max="13827" width="16.42578125" style="15" customWidth="1"/>
    <col min="13828" max="13828" width="14.42578125" style="15" customWidth="1"/>
    <col min="13829" max="13831" width="8.85546875" style="15"/>
    <col min="13832" max="13832" width="10.28515625" style="15" bestFit="1" customWidth="1"/>
    <col min="13833" max="13833" width="10.140625" style="15" customWidth="1"/>
    <col min="13834" max="13834" width="11.42578125" style="15" customWidth="1"/>
    <col min="13835" max="13835" width="11" style="15" customWidth="1"/>
    <col min="13836" max="13836" width="6.28515625" style="15" customWidth="1"/>
    <col min="13837" max="13837" width="11.28515625" style="15" customWidth="1"/>
    <col min="13838" max="13838" width="14.7109375" style="15" bestFit="1" customWidth="1"/>
    <col min="13839" max="14081" width="8.85546875" style="15"/>
    <col min="14082" max="14082" width="14.42578125" style="15" customWidth="1"/>
    <col min="14083" max="14083" width="16.42578125" style="15" customWidth="1"/>
    <col min="14084" max="14084" width="14.42578125" style="15" customWidth="1"/>
    <col min="14085" max="14087" width="8.85546875" style="15"/>
    <col min="14088" max="14088" width="10.28515625" style="15" bestFit="1" customWidth="1"/>
    <col min="14089" max="14089" width="10.140625" style="15" customWidth="1"/>
    <col min="14090" max="14090" width="11.42578125" style="15" customWidth="1"/>
    <col min="14091" max="14091" width="11" style="15" customWidth="1"/>
    <col min="14092" max="14092" width="6.28515625" style="15" customWidth="1"/>
    <col min="14093" max="14093" width="11.28515625" style="15" customWidth="1"/>
    <col min="14094" max="14094" width="14.7109375" style="15" bestFit="1" customWidth="1"/>
    <col min="14095" max="14337" width="8.85546875" style="15"/>
    <col min="14338" max="14338" width="14.42578125" style="15" customWidth="1"/>
    <col min="14339" max="14339" width="16.42578125" style="15" customWidth="1"/>
    <col min="14340" max="14340" width="14.42578125" style="15" customWidth="1"/>
    <col min="14341" max="14343" width="8.85546875" style="15"/>
    <col min="14344" max="14344" width="10.28515625" style="15" bestFit="1" customWidth="1"/>
    <col min="14345" max="14345" width="10.140625" style="15" customWidth="1"/>
    <col min="14346" max="14346" width="11.42578125" style="15" customWidth="1"/>
    <col min="14347" max="14347" width="11" style="15" customWidth="1"/>
    <col min="14348" max="14348" width="6.28515625" style="15" customWidth="1"/>
    <col min="14349" max="14349" width="11.28515625" style="15" customWidth="1"/>
    <col min="14350" max="14350" width="14.7109375" style="15" bestFit="1" customWidth="1"/>
    <col min="14351" max="14593" width="8.85546875" style="15"/>
    <col min="14594" max="14594" width="14.42578125" style="15" customWidth="1"/>
    <col min="14595" max="14595" width="16.42578125" style="15" customWidth="1"/>
    <col min="14596" max="14596" width="14.42578125" style="15" customWidth="1"/>
    <col min="14597" max="14599" width="8.85546875" style="15"/>
    <col min="14600" max="14600" width="10.28515625" style="15" bestFit="1" customWidth="1"/>
    <col min="14601" max="14601" width="10.140625" style="15" customWidth="1"/>
    <col min="14602" max="14602" width="11.42578125" style="15" customWidth="1"/>
    <col min="14603" max="14603" width="11" style="15" customWidth="1"/>
    <col min="14604" max="14604" width="6.28515625" style="15" customWidth="1"/>
    <col min="14605" max="14605" width="11.28515625" style="15" customWidth="1"/>
    <col min="14606" max="14606" width="14.7109375" style="15" bestFit="1" customWidth="1"/>
    <col min="14607" max="14849" width="8.85546875" style="15"/>
    <col min="14850" max="14850" width="14.42578125" style="15" customWidth="1"/>
    <col min="14851" max="14851" width="16.42578125" style="15" customWidth="1"/>
    <col min="14852" max="14852" width="14.42578125" style="15" customWidth="1"/>
    <col min="14853" max="14855" width="8.85546875" style="15"/>
    <col min="14856" max="14856" width="10.28515625" style="15" bestFit="1" customWidth="1"/>
    <col min="14857" max="14857" width="10.140625" style="15" customWidth="1"/>
    <col min="14858" max="14858" width="11.42578125" style="15" customWidth="1"/>
    <col min="14859" max="14859" width="11" style="15" customWidth="1"/>
    <col min="14860" max="14860" width="6.28515625" style="15" customWidth="1"/>
    <col min="14861" max="14861" width="11.28515625" style="15" customWidth="1"/>
    <col min="14862" max="14862" width="14.7109375" style="15" bestFit="1" customWidth="1"/>
    <col min="14863" max="15105" width="8.85546875" style="15"/>
    <col min="15106" max="15106" width="14.42578125" style="15" customWidth="1"/>
    <col min="15107" max="15107" width="16.42578125" style="15" customWidth="1"/>
    <col min="15108" max="15108" width="14.42578125" style="15" customWidth="1"/>
    <col min="15109" max="15111" width="8.85546875" style="15"/>
    <col min="15112" max="15112" width="10.28515625" style="15" bestFit="1" customWidth="1"/>
    <col min="15113" max="15113" width="10.140625" style="15" customWidth="1"/>
    <col min="15114" max="15114" width="11.42578125" style="15" customWidth="1"/>
    <col min="15115" max="15115" width="11" style="15" customWidth="1"/>
    <col min="15116" max="15116" width="6.28515625" style="15" customWidth="1"/>
    <col min="15117" max="15117" width="11.28515625" style="15" customWidth="1"/>
    <col min="15118" max="15118" width="14.7109375" style="15" bestFit="1" customWidth="1"/>
    <col min="15119" max="15361" width="8.85546875" style="15"/>
    <col min="15362" max="15362" width="14.42578125" style="15" customWidth="1"/>
    <col min="15363" max="15363" width="16.42578125" style="15" customWidth="1"/>
    <col min="15364" max="15364" width="14.42578125" style="15" customWidth="1"/>
    <col min="15365" max="15367" width="8.85546875" style="15"/>
    <col min="15368" max="15368" width="10.28515625" style="15" bestFit="1" customWidth="1"/>
    <col min="15369" max="15369" width="10.140625" style="15" customWidth="1"/>
    <col min="15370" max="15370" width="11.42578125" style="15" customWidth="1"/>
    <col min="15371" max="15371" width="11" style="15" customWidth="1"/>
    <col min="15372" max="15372" width="6.28515625" style="15" customWidth="1"/>
    <col min="15373" max="15373" width="11.28515625" style="15" customWidth="1"/>
    <col min="15374" max="15374" width="14.7109375" style="15" bestFit="1" customWidth="1"/>
    <col min="15375" max="15617" width="8.85546875" style="15"/>
    <col min="15618" max="15618" width="14.42578125" style="15" customWidth="1"/>
    <col min="15619" max="15619" width="16.42578125" style="15" customWidth="1"/>
    <col min="15620" max="15620" width="14.42578125" style="15" customWidth="1"/>
    <col min="15621" max="15623" width="8.85546875" style="15"/>
    <col min="15624" max="15624" width="10.28515625" style="15" bestFit="1" customWidth="1"/>
    <col min="15625" max="15625" width="10.140625" style="15" customWidth="1"/>
    <col min="15626" max="15626" width="11.42578125" style="15" customWidth="1"/>
    <col min="15627" max="15627" width="11" style="15" customWidth="1"/>
    <col min="15628" max="15628" width="6.28515625" style="15" customWidth="1"/>
    <col min="15629" max="15629" width="11.28515625" style="15" customWidth="1"/>
    <col min="15630" max="15630" width="14.7109375" style="15" bestFit="1" customWidth="1"/>
    <col min="15631" max="15873" width="8.85546875" style="15"/>
    <col min="15874" max="15874" width="14.42578125" style="15" customWidth="1"/>
    <col min="15875" max="15875" width="16.42578125" style="15" customWidth="1"/>
    <col min="15876" max="15876" width="14.42578125" style="15" customWidth="1"/>
    <col min="15877" max="15879" width="8.85546875" style="15"/>
    <col min="15880" max="15880" width="10.28515625" style="15" bestFit="1" customWidth="1"/>
    <col min="15881" max="15881" width="10.140625" style="15" customWidth="1"/>
    <col min="15882" max="15882" width="11.42578125" style="15" customWidth="1"/>
    <col min="15883" max="15883" width="11" style="15" customWidth="1"/>
    <col min="15884" max="15884" width="6.28515625" style="15" customWidth="1"/>
    <col min="15885" max="15885" width="11.28515625" style="15" customWidth="1"/>
    <col min="15886" max="15886" width="14.7109375" style="15" bestFit="1" customWidth="1"/>
    <col min="15887" max="16129" width="8.85546875" style="15"/>
    <col min="16130" max="16130" width="14.42578125" style="15" customWidth="1"/>
    <col min="16131" max="16131" width="16.42578125" style="15" customWidth="1"/>
    <col min="16132" max="16132" width="14.42578125" style="15" customWidth="1"/>
    <col min="16133" max="16135" width="8.85546875" style="15"/>
    <col min="16136" max="16136" width="10.28515625" style="15" bestFit="1" customWidth="1"/>
    <col min="16137" max="16137" width="10.140625" style="15" customWidth="1"/>
    <col min="16138" max="16138" width="11.42578125" style="15" customWidth="1"/>
    <col min="16139" max="16139" width="11" style="15" customWidth="1"/>
    <col min="16140" max="16140" width="6.28515625" style="15" customWidth="1"/>
    <col min="16141" max="16141" width="11.28515625" style="15" customWidth="1"/>
    <col min="16142" max="16142" width="14.7109375" style="15" bestFit="1" customWidth="1"/>
    <col min="16143" max="16384" width="8.85546875" style="15"/>
  </cols>
  <sheetData>
    <row r="1" spans="1:29" x14ac:dyDescent="0.2">
      <c r="A1" s="25" t="s">
        <v>85</v>
      </c>
    </row>
    <row r="2" spans="1:29" ht="38.25" x14ac:dyDescent="0.2">
      <c r="A2" s="1" t="s">
        <v>18</v>
      </c>
      <c r="B2" s="6" t="s">
        <v>7</v>
      </c>
      <c r="C2" s="6" t="s">
        <v>8</v>
      </c>
      <c r="D2" s="6" t="s">
        <v>9</v>
      </c>
      <c r="E2" s="6" t="s">
        <v>10</v>
      </c>
      <c r="F2" s="6" t="s">
        <v>11</v>
      </c>
      <c r="G2" s="4" t="s">
        <v>19</v>
      </c>
      <c r="H2" s="2" t="s">
        <v>12</v>
      </c>
      <c r="I2" s="4" t="s">
        <v>13</v>
      </c>
      <c r="J2" s="4" t="s">
        <v>25</v>
      </c>
      <c r="K2" s="4" t="s">
        <v>14</v>
      </c>
      <c r="L2" s="4" t="s">
        <v>17</v>
      </c>
      <c r="M2" s="4" t="s">
        <v>15</v>
      </c>
      <c r="N2" s="4" t="s">
        <v>16</v>
      </c>
      <c r="P2" s="1" t="s">
        <v>18</v>
      </c>
      <c r="Q2" s="6" t="s">
        <v>7</v>
      </c>
      <c r="R2" s="6" t="s">
        <v>8</v>
      </c>
      <c r="S2" s="6" t="s">
        <v>9</v>
      </c>
      <c r="T2" s="6" t="s">
        <v>10</v>
      </c>
      <c r="U2" s="6" t="s">
        <v>11</v>
      </c>
      <c r="V2" s="4" t="s">
        <v>19</v>
      </c>
      <c r="W2" s="2" t="s">
        <v>12</v>
      </c>
      <c r="X2" s="4" t="s">
        <v>13</v>
      </c>
      <c r="Y2" s="4" t="s">
        <v>25</v>
      </c>
      <c r="Z2" s="4" t="s">
        <v>14</v>
      </c>
      <c r="AA2" s="4" t="s">
        <v>17</v>
      </c>
      <c r="AB2" s="4" t="s">
        <v>15</v>
      </c>
      <c r="AC2" s="4" t="s">
        <v>16</v>
      </c>
    </row>
    <row r="3" spans="1:29" ht="15.75" customHeight="1" x14ac:dyDescent="0.2">
      <c r="A3" s="4" t="s">
        <v>113</v>
      </c>
      <c r="B3" s="22">
        <f>Q3/1000000</f>
        <v>1.1327830000000001</v>
      </c>
      <c r="C3" s="22">
        <f t="shared" ref="C3:C14" si="0">R3/1000000</f>
        <v>0.231074</v>
      </c>
      <c r="D3" s="22">
        <f t="shared" ref="D3:D14" si="1">S3/1000000</f>
        <v>18.377891999999999</v>
      </c>
      <c r="E3" s="22">
        <f t="shared" ref="E3:E14" si="2">T3/1000000</f>
        <v>28.896446999999998</v>
      </c>
      <c r="F3" s="22">
        <f t="shared" ref="F3:F14" si="3">U3/1000000</f>
        <v>0.57539600000000002</v>
      </c>
      <c r="G3" s="22">
        <f t="shared" ref="G3:G14" si="4">V3/1000000</f>
        <v>14.565492000000001</v>
      </c>
      <c r="H3" s="22">
        <f t="shared" ref="H3:H14" si="5">W3/1000000</f>
        <v>16.701627999999999</v>
      </c>
      <c r="I3" s="22">
        <f t="shared" ref="I3:I14" si="6">X3/1000000</f>
        <v>6.4566470000000002</v>
      </c>
      <c r="J3" s="22">
        <f t="shared" ref="J3:J14" si="7">Y3/1000000</f>
        <v>5.5788029999999997</v>
      </c>
      <c r="K3" s="22">
        <f t="shared" ref="K3:K14" si="8">Z3/1000000</f>
        <v>0.62844500000000003</v>
      </c>
      <c r="L3" s="22">
        <f t="shared" ref="L3:L14" si="9">AA3/1000000</f>
        <v>10.028836</v>
      </c>
      <c r="M3" s="22">
        <f t="shared" ref="M3:M14" si="10">AB3/1000000</f>
        <v>0.79863499999999998</v>
      </c>
      <c r="N3" s="22">
        <f t="shared" ref="N3:N15" si="11">SUM(B3:M3)</f>
        <v>103.97207799999998</v>
      </c>
      <c r="P3" s="4" t="s">
        <v>113</v>
      </c>
      <c r="Q3" s="7">
        <v>1132783</v>
      </c>
      <c r="R3" s="7">
        <v>231074</v>
      </c>
      <c r="S3" s="7">
        <v>18377892</v>
      </c>
      <c r="T3" s="7">
        <v>28896447</v>
      </c>
      <c r="U3" s="7">
        <v>575396</v>
      </c>
      <c r="V3" s="7">
        <v>14565492</v>
      </c>
      <c r="W3" s="7">
        <v>16701628</v>
      </c>
      <c r="X3" s="7">
        <v>6456647</v>
      </c>
      <c r="Y3" s="7">
        <v>5578803</v>
      </c>
      <c r="Z3" s="7">
        <v>628445</v>
      </c>
      <c r="AA3" s="7">
        <v>10028836</v>
      </c>
      <c r="AB3" s="7">
        <v>798635</v>
      </c>
      <c r="AC3" s="7">
        <f t="shared" ref="AC3:AC14" si="12">SUM(Q3:AB3)</f>
        <v>103972078</v>
      </c>
    </row>
    <row r="4" spans="1:29" x14ac:dyDescent="0.2">
      <c r="A4" s="4" t="s">
        <v>114</v>
      </c>
      <c r="B4" s="22">
        <f t="shared" ref="B4:B14" si="13">Q4/1000000</f>
        <v>2.4190390000000002</v>
      </c>
      <c r="C4" s="22">
        <f t="shared" si="0"/>
        <v>0.23615</v>
      </c>
      <c r="D4" s="22">
        <f t="shared" si="1"/>
        <v>23.277978999999998</v>
      </c>
      <c r="E4" s="22">
        <f t="shared" si="2"/>
        <v>25.529772999999999</v>
      </c>
      <c r="F4" s="22">
        <f t="shared" si="3"/>
        <v>0.27416600000000002</v>
      </c>
      <c r="G4" s="22">
        <f t="shared" si="4"/>
        <v>15.430807</v>
      </c>
      <c r="H4" s="22">
        <f t="shared" si="5"/>
        <v>19.124338999999999</v>
      </c>
      <c r="I4" s="22">
        <f t="shared" si="6"/>
        <v>5.1280659999999996</v>
      </c>
      <c r="J4" s="22">
        <f t="shared" si="7"/>
        <v>6.3812850000000001</v>
      </c>
      <c r="K4" s="22">
        <f t="shared" si="8"/>
        <v>0.65685800000000005</v>
      </c>
      <c r="L4" s="22">
        <f t="shared" si="9"/>
        <v>9.0344449999999998</v>
      </c>
      <c r="M4" s="22">
        <f t="shared" si="10"/>
        <v>0.64744999999999997</v>
      </c>
      <c r="N4" s="22">
        <f t="shared" si="11"/>
        <v>108.14035700000001</v>
      </c>
      <c r="P4" s="4" t="s">
        <v>114</v>
      </c>
      <c r="Q4" s="7">
        <v>2419039</v>
      </c>
      <c r="R4" s="7">
        <v>236150</v>
      </c>
      <c r="S4" s="7">
        <v>23277979</v>
      </c>
      <c r="T4" s="7">
        <v>25529773</v>
      </c>
      <c r="U4" s="7">
        <v>274166</v>
      </c>
      <c r="V4" s="7">
        <v>15430807</v>
      </c>
      <c r="W4" s="7">
        <v>19124339</v>
      </c>
      <c r="X4" s="7">
        <v>5128066</v>
      </c>
      <c r="Y4" s="7">
        <v>6381285</v>
      </c>
      <c r="Z4" s="7">
        <v>656858</v>
      </c>
      <c r="AA4" s="7">
        <v>9034445</v>
      </c>
      <c r="AB4" s="7">
        <v>647450</v>
      </c>
      <c r="AC4" s="7">
        <f t="shared" si="12"/>
        <v>108140357</v>
      </c>
    </row>
    <row r="5" spans="1:29" x14ac:dyDescent="0.2">
      <c r="A5" s="4" t="s">
        <v>115</v>
      </c>
      <c r="B5" s="22">
        <f t="shared" si="13"/>
        <v>0.97034600000000004</v>
      </c>
      <c r="C5" s="22">
        <f t="shared" si="0"/>
        <v>0.28009000000000001</v>
      </c>
      <c r="D5" s="22">
        <f t="shared" si="1"/>
        <v>18.530660999999998</v>
      </c>
      <c r="E5" s="22">
        <f t="shared" si="2"/>
        <v>25.767088000000001</v>
      </c>
      <c r="F5" s="22">
        <f t="shared" si="3"/>
        <v>0.32800000000000001</v>
      </c>
      <c r="G5" s="22">
        <f t="shared" si="4"/>
        <v>12.743429000000001</v>
      </c>
      <c r="H5" s="22">
        <f t="shared" si="5"/>
        <v>18.213764999999999</v>
      </c>
      <c r="I5" s="22">
        <f t="shared" si="6"/>
        <v>5.4870450000000002</v>
      </c>
      <c r="J5" s="22">
        <f t="shared" si="7"/>
        <v>8.2940249999999995</v>
      </c>
      <c r="K5" s="22">
        <f t="shared" si="8"/>
        <v>1.608538</v>
      </c>
      <c r="L5" s="22">
        <f t="shared" si="9"/>
        <v>7.8657969999999997</v>
      </c>
      <c r="M5" s="22">
        <f t="shared" si="10"/>
        <v>0.47058800000000001</v>
      </c>
      <c r="N5" s="22">
        <f t="shared" si="11"/>
        <v>100.55937200000001</v>
      </c>
      <c r="P5" s="4" t="s">
        <v>115</v>
      </c>
      <c r="Q5" s="7">
        <v>970346</v>
      </c>
      <c r="R5" s="7">
        <v>280090</v>
      </c>
      <c r="S5" s="7">
        <v>18530661</v>
      </c>
      <c r="T5" s="7">
        <v>25767088</v>
      </c>
      <c r="U5" s="7">
        <v>328000</v>
      </c>
      <c r="V5" s="7">
        <v>12743429</v>
      </c>
      <c r="W5" s="7">
        <v>18213765</v>
      </c>
      <c r="X5" s="7">
        <v>5487045</v>
      </c>
      <c r="Y5" s="7">
        <v>8294025</v>
      </c>
      <c r="Z5" s="7">
        <v>1608538</v>
      </c>
      <c r="AA5" s="7">
        <v>7865797</v>
      </c>
      <c r="AB5" s="7">
        <v>470588</v>
      </c>
      <c r="AC5" s="7">
        <f t="shared" si="12"/>
        <v>100559372</v>
      </c>
    </row>
    <row r="6" spans="1:29" x14ac:dyDescent="0.2">
      <c r="A6" s="4" t="s">
        <v>103</v>
      </c>
      <c r="B6" s="22">
        <f t="shared" si="13"/>
        <v>1.5701400000000001</v>
      </c>
      <c r="C6" s="22">
        <f t="shared" si="0"/>
        <v>0.354186</v>
      </c>
      <c r="D6" s="22">
        <f t="shared" si="1"/>
        <v>27.374569999999999</v>
      </c>
      <c r="E6" s="22">
        <f t="shared" si="2"/>
        <v>32.096122999999999</v>
      </c>
      <c r="F6" s="22">
        <f t="shared" si="3"/>
        <v>0.20375799999999999</v>
      </c>
      <c r="G6" s="22">
        <f t="shared" si="4"/>
        <v>11.324756000000001</v>
      </c>
      <c r="H6" s="22">
        <f t="shared" si="5"/>
        <v>21.660957</v>
      </c>
      <c r="I6" s="22">
        <f t="shared" si="6"/>
        <v>7.1259439999999996</v>
      </c>
      <c r="J6" s="22">
        <f t="shared" si="7"/>
        <v>5.5446489999999997</v>
      </c>
      <c r="K6" s="22">
        <f t="shared" si="8"/>
        <v>1.4665029999999999</v>
      </c>
      <c r="L6" s="22">
        <f t="shared" si="9"/>
        <v>8.0313739999999996</v>
      </c>
      <c r="M6" s="22">
        <f t="shared" si="10"/>
        <v>0.52989600000000003</v>
      </c>
      <c r="N6" s="22">
        <f t="shared" si="11"/>
        <v>117.28285599999998</v>
      </c>
      <c r="P6" s="4" t="s">
        <v>103</v>
      </c>
      <c r="Q6" s="7">
        <v>1570140</v>
      </c>
      <c r="R6" s="7">
        <v>354186</v>
      </c>
      <c r="S6" s="7">
        <v>27374570</v>
      </c>
      <c r="T6" s="7">
        <v>32096123</v>
      </c>
      <c r="U6" s="7">
        <v>203758</v>
      </c>
      <c r="V6" s="7">
        <v>11324756</v>
      </c>
      <c r="W6" s="7">
        <v>21660957</v>
      </c>
      <c r="X6" s="7">
        <v>7125944</v>
      </c>
      <c r="Y6" s="7">
        <v>5544649</v>
      </c>
      <c r="Z6" s="7">
        <v>1466503</v>
      </c>
      <c r="AA6" s="7">
        <v>8031374</v>
      </c>
      <c r="AB6" s="7">
        <v>529896</v>
      </c>
      <c r="AC6" s="7">
        <f t="shared" si="12"/>
        <v>117282856</v>
      </c>
    </row>
    <row r="7" spans="1:29" x14ac:dyDescent="0.2">
      <c r="A7" s="4" t="s">
        <v>104</v>
      </c>
      <c r="B7" s="22">
        <f t="shared" si="13"/>
        <v>1.3939600000000001</v>
      </c>
      <c r="C7" s="22">
        <f t="shared" si="0"/>
        <v>0.31134200000000001</v>
      </c>
      <c r="D7" s="22">
        <f t="shared" si="1"/>
        <v>24.265677</v>
      </c>
      <c r="E7" s="22">
        <f t="shared" si="2"/>
        <v>32.159213000000001</v>
      </c>
      <c r="F7" s="22">
        <f t="shared" si="3"/>
        <v>0.100287</v>
      </c>
      <c r="G7" s="22">
        <f t="shared" si="4"/>
        <v>17.134003</v>
      </c>
      <c r="H7" s="22">
        <f t="shared" si="5"/>
        <v>17.319488</v>
      </c>
      <c r="I7" s="22">
        <f t="shared" si="6"/>
        <v>7.8459490000000001</v>
      </c>
      <c r="J7" s="22">
        <f t="shared" si="7"/>
        <v>6.2320099999999998</v>
      </c>
      <c r="K7" s="22">
        <f t="shared" si="8"/>
        <v>2.9461710000000001</v>
      </c>
      <c r="L7" s="22">
        <f t="shared" si="9"/>
        <v>8.0177340000000008</v>
      </c>
      <c r="M7" s="22">
        <f t="shared" si="10"/>
        <v>0.51454100000000003</v>
      </c>
      <c r="N7" s="22">
        <f t="shared" si="11"/>
        <v>118.24037500000003</v>
      </c>
      <c r="P7" s="4" t="s">
        <v>104</v>
      </c>
      <c r="Q7" s="7">
        <v>1393960</v>
      </c>
      <c r="R7" s="7">
        <v>311342</v>
      </c>
      <c r="S7" s="7">
        <v>24265677</v>
      </c>
      <c r="T7" s="7">
        <v>32159213</v>
      </c>
      <c r="U7" s="7">
        <v>100287</v>
      </c>
      <c r="V7" s="7">
        <v>17134003</v>
      </c>
      <c r="W7" s="7">
        <v>17319488</v>
      </c>
      <c r="X7" s="7">
        <v>7845949</v>
      </c>
      <c r="Y7" s="7">
        <v>6232010</v>
      </c>
      <c r="Z7" s="7">
        <v>2946171</v>
      </c>
      <c r="AA7" s="7">
        <v>8017734</v>
      </c>
      <c r="AB7" s="7">
        <v>514541</v>
      </c>
      <c r="AC7" s="7">
        <f t="shared" si="12"/>
        <v>118240375</v>
      </c>
    </row>
    <row r="8" spans="1:29" x14ac:dyDescent="0.2">
      <c r="A8" s="4" t="s">
        <v>105</v>
      </c>
      <c r="B8" s="22">
        <f t="shared" si="13"/>
        <v>1.7892079999999999</v>
      </c>
      <c r="C8" s="22">
        <f t="shared" si="0"/>
        <v>0.37894</v>
      </c>
      <c r="D8" s="22">
        <f t="shared" si="1"/>
        <v>32.765307</v>
      </c>
      <c r="E8" s="22">
        <f t="shared" si="2"/>
        <v>33.766874999999999</v>
      </c>
      <c r="F8" s="22">
        <f t="shared" si="3"/>
        <v>4.1279999999999997E-2</v>
      </c>
      <c r="G8" s="22">
        <f t="shared" si="4"/>
        <v>17.775683000000001</v>
      </c>
      <c r="H8" s="22">
        <f t="shared" si="5"/>
        <v>20.801611999999999</v>
      </c>
      <c r="I8" s="22">
        <f t="shared" si="6"/>
        <v>8.2248570000000001</v>
      </c>
      <c r="J8" s="22">
        <f t="shared" si="7"/>
        <v>5.18933</v>
      </c>
      <c r="K8" s="22">
        <f t="shared" si="8"/>
        <v>1.829429</v>
      </c>
      <c r="L8" s="22">
        <f t="shared" si="9"/>
        <v>7.3029950000000001</v>
      </c>
      <c r="M8" s="22">
        <f t="shared" si="10"/>
        <v>0.50105699999999997</v>
      </c>
      <c r="N8" s="22">
        <f t="shared" si="11"/>
        <v>130.36657300000002</v>
      </c>
      <c r="P8" s="4" t="s">
        <v>105</v>
      </c>
      <c r="Q8" s="7">
        <v>1789208</v>
      </c>
      <c r="R8" s="7">
        <v>378940</v>
      </c>
      <c r="S8" s="7">
        <v>32765307</v>
      </c>
      <c r="T8" s="7">
        <v>33766875</v>
      </c>
      <c r="U8" s="7">
        <v>41280</v>
      </c>
      <c r="V8" s="7">
        <v>17775683</v>
      </c>
      <c r="W8" s="7">
        <v>20801612</v>
      </c>
      <c r="X8" s="7">
        <v>8224857</v>
      </c>
      <c r="Y8" s="7">
        <v>5189330</v>
      </c>
      <c r="Z8" s="7">
        <v>1829429</v>
      </c>
      <c r="AA8" s="7">
        <v>7302995</v>
      </c>
      <c r="AB8" s="7">
        <v>501057</v>
      </c>
      <c r="AC8" s="7">
        <f t="shared" si="12"/>
        <v>130366573</v>
      </c>
    </row>
    <row r="9" spans="1:29" x14ac:dyDescent="0.2">
      <c r="A9" s="4" t="s">
        <v>106</v>
      </c>
      <c r="B9" s="22">
        <f t="shared" si="13"/>
        <v>1.457813</v>
      </c>
      <c r="C9" s="22">
        <f t="shared" si="0"/>
        <v>0.38110100000000002</v>
      </c>
      <c r="D9" s="22">
        <f t="shared" si="1"/>
        <v>30.077812999999999</v>
      </c>
      <c r="E9" s="22">
        <f t="shared" si="2"/>
        <v>36.826627999999999</v>
      </c>
      <c r="F9" s="22">
        <f t="shared" si="3"/>
        <v>0.10233200000000001</v>
      </c>
      <c r="G9" s="22">
        <f t="shared" si="4"/>
        <v>13.025437</v>
      </c>
      <c r="H9" s="22">
        <f t="shared" si="5"/>
        <v>20.928334</v>
      </c>
      <c r="I9" s="22">
        <f t="shared" si="6"/>
        <v>9.0645810000000004</v>
      </c>
      <c r="J9" s="22">
        <f t="shared" si="7"/>
        <v>4.449916</v>
      </c>
      <c r="K9" s="22">
        <f t="shared" si="8"/>
        <v>2.33812</v>
      </c>
      <c r="L9" s="22">
        <f t="shared" si="9"/>
        <v>7.3737409999999999</v>
      </c>
      <c r="M9" s="22">
        <f t="shared" si="10"/>
        <v>0.47130899999999998</v>
      </c>
      <c r="N9" s="22">
        <f t="shared" si="11"/>
        <v>126.497125</v>
      </c>
      <c r="P9" s="4" t="s">
        <v>106</v>
      </c>
      <c r="Q9" s="7">
        <v>1457813</v>
      </c>
      <c r="R9" s="7">
        <v>381101</v>
      </c>
      <c r="S9" s="7">
        <v>30077813</v>
      </c>
      <c r="T9" s="7">
        <v>36826628</v>
      </c>
      <c r="U9" s="7">
        <v>102332</v>
      </c>
      <c r="V9" s="7">
        <v>13025437</v>
      </c>
      <c r="W9" s="7">
        <v>20928334</v>
      </c>
      <c r="X9" s="7">
        <v>9064581</v>
      </c>
      <c r="Y9" s="7">
        <v>4449916</v>
      </c>
      <c r="Z9" s="7">
        <v>2338120</v>
      </c>
      <c r="AA9" s="7">
        <v>7373741</v>
      </c>
      <c r="AB9" s="7">
        <v>471309</v>
      </c>
      <c r="AC9" s="7">
        <f t="shared" si="12"/>
        <v>126497125</v>
      </c>
    </row>
    <row r="10" spans="1:29" x14ac:dyDescent="0.2">
      <c r="A10" s="4" t="s">
        <v>107</v>
      </c>
      <c r="B10" s="22">
        <f t="shared" si="13"/>
        <v>1.0272810000000001</v>
      </c>
      <c r="C10" s="22">
        <f t="shared" si="0"/>
        <v>0.45140200000000003</v>
      </c>
      <c r="D10" s="22">
        <f t="shared" si="1"/>
        <v>35.040410000000001</v>
      </c>
      <c r="E10" s="22">
        <f t="shared" si="2"/>
        <v>37.983293000000003</v>
      </c>
      <c r="F10" s="22">
        <f t="shared" si="3"/>
        <v>0.21654899999999999</v>
      </c>
      <c r="G10" s="22">
        <f t="shared" si="4"/>
        <v>17.953396999999999</v>
      </c>
      <c r="H10" s="22">
        <f t="shared" si="5"/>
        <v>19.517637000000001</v>
      </c>
      <c r="I10" s="22">
        <f t="shared" si="6"/>
        <v>5.6167199999999999</v>
      </c>
      <c r="J10" s="22">
        <f t="shared" si="7"/>
        <v>4.2039840000000002</v>
      </c>
      <c r="K10" s="22">
        <f t="shared" si="8"/>
        <v>3.741698</v>
      </c>
      <c r="L10" s="22">
        <f t="shared" si="9"/>
        <v>8.9641169999999999</v>
      </c>
      <c r="M10" s="22">
        <f t="shared" si="10"/>
        <v>0.38265199999999999</v>
      </c>
      <c r="N10" s="22">
        <f t="shared" si="11"/>
        <v>135.09914000000001</v>
      </c>
      <c r="P10" s="4" t="s">
        <v>107</v>
      </c>
      <c r="Q10" s="7">
        <v>1027281</v>
      </c>
      <c r="R10" s="7">
        <v>451402</v>
      </c>
      <c r="S10" s="7">
        <v>35040410</v>
      </c>
      <c r="T10" s="7">
        <v>37983293</v>
      </c>
      <c r="U10" s="7">
        <v>216549</v>
      </c>
      <c r="V10" s="7">
        <v>17953397</v>
      </c>
      <c r="W10" s="7">
        <v>19517637</v>
      </c>
      <c r="X10" s="7">
        <v>5616720</v>
      </c>
      <c r="Y10" s="7">
        <v>4203984</v>
      </c>
      <c r="Z10" s="7">
        <v>3741698</v>
      </c>
      <c r="AA10" s="7">
        <v>8964117</v>
      </c>
      <c r="AB10" s="7">
        <v>382652</v>
      </c>
      <c r="AC10" s="7">
        <f t="shared" si="12"/>
        <v>135099140</v>
      </c>
    </row>
    <row r="11" spans="1:29" x14ac:dyDescent="0.2">
      <c r="A11" s="4" t="s">
        <v>108</v>
      </c>
      <c r="B11" s="22">
        <f t="shared" si="13"/>
        <v>1.3002450000000001</v>
      </c>
      <c r="C11" s="22">
        <f t="shared" si="0"/>
        <v>0.45373200000000002</v>
      </c>
      <c r="D11" s="22">
        <f t="shared" si="1"/>
        <v>23.967780999999999</v>
      </c>
      <c r="E11" s="22">
        <f t="shared" si="2"/>
        <v>40.160893999999999</v>
      </c>
      <c r="F11" s="22">
        <f t="shared" si="3"/>
        <v>0.541659</v>
      </c>
      <c r="G11" s="22">
        <f t="shared" si="4"/>
        <v>17.468513000000002</v>
      </c>
      <c r="H11" s="22">
        <f t="shared" si="5"/>
        <v>17.258904999999999</v>
      </c>
      <c r="I11" s="22">
        <f t="shared" si="6"/>
        <v>7.7782010000000001</v>
      </c>
      <c r="J11" s="22">
        <f t="shared" si="7"/>
        <v>4.1391650000000002</v>
      </c>
      <c r="K11" s="22">
        <f t="shared" si="8"/>
        <v>4.3939779999999997</v>
      </c>
      <c r="L11" s="22">
        <f t="shared" si="9"/>
        <v>6.9092580000000003</v>
      </c>
      <c r="M11" s="22">
        <f t="shared" si="10"/>
        <v>0.33543499999999998</v>
      </c>
      <c r="N11" s="22">
        <f t="shared" si="11"/>
        <v>124.70776599999999</v>
      </c>
      <c r="P11" s="4" t="s">
        <v>108</v>
      </c>
      <c r="Q11" s="7">
        <v>1300245</v>
      </c>
      <c r="R11" s="7">
        <v>453732</v>
      </c>
      <c r="S11" s="7">
        <v>23967781</v>
      </c>
      <c r="T11" s="7">
        <v>40160894</v>
      </c>
      <c r="U11" s="7">
        <v>541659</v>
      </c>
      <c r="V11" s="7">
        <v>17468513</v>
      </c>
      <c r="W11" s="7">
        <v>17258905</v>
      </c>
      <c r="X11" s="7">
        <v>7778201</v>
      </c>
      <c r="Y11" s="7">
        <v>4139165</v>
      </c>
      <c r="Z11" s="7">
        <v>4393978</v>
      </c>
      <c r="AA11" s="7">
        <v>6909258</v>
      </c>
      <c r="AB11" s="7">
        <v>335435</v>
      </c>
      <c r="AC11" s="7">
        <f t="shared" si="12"/>
        <v>124707766</v>
      </c>
    </row>
    <row r="12" spans="1:29" x14ac:dyDescent="0.2">
      <c r="A12" s="4" t="s">
        <v>109</v>
      </c>
      <c r="B12" s="22">
        <f t="shared" si="13"/>
        <v>1.9852240000000001</v>
      </c>
      <c r="C12" s="22">
        <f t="shared" si="0"/>
        <v>1.294333</v>
      </c>
      <c r="D12" s="22">
        <f t="shared" si="1"/>
        <v>24.112031000000002</v>
      </c>
      <c r="E12" s="22">
        <f t="shared" si="2"/>
        <v>67.905032000000006</v>
      </c>
      <c r="F12" s="22">
        <f t="shared" si="3"/>
        <v>0.15531900000000001</v>
      </c>
      <c r="G12" s="22">
        <f t="shared" si="4"/>
        <v>12.45923</v>
      </c>
      <c r="H12" s="22">
        <f t="shared" si="5"/>
        <v>17.522261</v>
      </c>
      <c r="I12" s="22">
        <f t="shared" si="6"/>
        <v>9.1529720000000001</v>
      </c>
      <c r="J12" s="22">
        <f t="shared" si="7"/>
        <v>5.826829</v>
      </c>
      <c r="K12" s="22">
        <f t="shared" si="8"/>
        <v>2.5108109999999999</v>
      </c>
      <c r="L12" s="22">
        <f t="shared" si="9"/>
        <v>8.1002919999999996</v>
      </c>
      <c r="M12" s="22">
        <f t="shared" si="10"/>
        <v>0.32858900000000002</v>
      </c>
      <c r="N12" s="22">
        <f t="shared" si="11"/>
        <v>151.352923</v>
      </c>
      <c r="P12" s="4" t="s">
        <v>109</v>
      </c>
      <c r="Q12" s="7">
        <v>1985224</v>
      </c>
      <c r="R12" s="7">
        <v>1294333</v>
      </c>
      <c r="S12" s="7">
        <v>24112031</v>
      </c>
      <c r="T12" s="7">
        <v>67905032</v>
      </c>
      <c r="U12" s="7">
        <v>155319</v>
      </c>
      <c r="V12" s="7">
        <v>12459230</v>
      </c>
      <c r="W12" s="7">
        <v>17522261</v>
      </c>
      <c r="X12" s="7">
        <v>9152972</v>
      </c>
      <c r="Y12" s="7">
        <v>5826829</v>
      </c>
      <c r="Z12" s="7">
        <v>2510811</v>
      </c>
      <c r="AA12" s="7">
        <v>8100292</v>
      </c>
      <c r="AB12" s="7">
        <v>328589</v>
      </c>
      <c r="AC12" s="7">
        <f t="shared" si="12"/>
        <v>151352923</v>
      </c>
    </row>
    <row r="13" spans="1:29" x14ac:dyDescent="0.2">
      <c r="A13" s="4" t="s">
        <v>110</v>
      </c>
      <c r="B13" s="22">
        <f t="shared" si="13"/>
        <v>1.655897</v>
      </c>
      <c r="C13" s="22">
        <f t="shared" si="0"/>
        <v>0.38551600000000003</v>
      </c>
      <c r="D13" s="22">
        <f t="shared" si="1"/>
        <v>30.491166</v>
      </c>
      <c r="E13" s="22">
        <f t="shared" si="2"/>
        <v>23.816486999999999</v>
      </c>
      <c r="F13" s="22">
        <f t="shared" si="3"/>
        <v>0.96049200000000001</v>
      </c>
      <c r="G13" s="22">
        <f t="shared" si="4"/>
        <v>14.989570000000001</v>
      </c>
      <c r="H13" s="22">
        <f t="shared" si="5"/>
        <v>20.853822000000001</v>
      </c>
      <c r="I13" s="22">
        <f t="shared" si="6"/>
        <v>5.2149939999999999</v>
      </c>
      <c r="J13" s="22">
        <f t="shared" si="7"/>
        <v>5.5090640000000004</v>
      </c>
      <c r="K13" s="22">
        <f t="shared" si="8"/>
        <v>4.8234839999999997</v>
      </c>
      <c r="L13" s="22">
        <f t="shared" si="9"/>
        <v>5.023002</v>
      </c>
      <c r="M13" s="22">
        <f t="shared" si="10"/>
        <v>0.358518</v>
      </c>
      <c r="N13" s="22">
        <f t="shared" si="11"/>
        <v>114.08201200000001</v>
      </c>
      <c r="P13" s="4" t="s">
        <v>110</v>
      </c>
      <c r="Q13" s="7">
        <v>1655897</v>
      </c>
      <c r="R13" s="7">
        <v>385516</v>
      </c>
      <c r="S13" s="7">
        <v>30491166</v>
      </c>
      <c r="T13" s="7">
        <v>23816487</v>
      </c>
      <c r="U13" s="7">
        <v>960492</v>
      </c>
      <c r="V13" s="7">
        <v>14989570</v>
      </c>
      <c r="W13" s="7">
        <v>20853822</v>
      </c>
      <c r="X13" s="7">
        <v>5214994</v>
      </c>
      <c r="Y13" s="7">
        <v>5509064</v>
      </c>
      <c r="Z13" s="7">
        <v>4823484</v>
      </c>
      <c r="AA13" s="7">
        <v>5023002</v>
      </c>
      <c r="AB13" s="7">
        <v>358518</v>
      </c>
      <c r="AC13" s="7">
        <f t="shared" si="12"/>
        <v>114082012</v>
      </c>
    </row>
    <row r="14" spans="1:29" x14ac:dyDescent="0.2">
      <c r="A14" s="4" t="s">
        <v>111</v>
      </c>
      <c r="B14" s="22">
        <f t="shared" si="13"/>
        <v>1.7819259999999999</v>
      </c>
      <c r="C14" s="22">
        <f t="shared" si="0"/>
        <v>0.42255900000000002</v>
      </c>
      <c r="D14" s="22">
        <f t="shared" si="1"/>
        <v>28.227335</v>
      </c>
      <c r="E14" s="22">
        <f t="shared" si="2"/>
        <v>24.256139000000001</v>
      </c>
      <c r="F14" s="22">
        <f t="shared" si="3"/>
        <v>0.433751</v>
      </c>
      <c r="G14" s="22">
        <f t="shared" si="4"/>
        <v>9.7206589999999995</v>
      </c>
      <c r="H14" s="22">
        <f t="shared" si="5"/>
        <v>20.810369999999999</v>
      </c>
      <c r="I14" s="22">
        <f t="shared" si="6"/>
        <v>5.0894560000000002</v>
      </c>
      <c r="J14" s="22">
        <f t="shared" si="7"/>
        <v>4.083183</v>
      </c>
      <c r="K14" s="22">
        <f t="shared" si="8"/>
        <v>4.6064340000000001</v>
      </c>
      <c r="L14" s="22">
        <f t="shared" si="9"/>
        <v>6.3663910000000001</v>
      </c>
      <c r="M14" s="22">
        <f t="shared" si="10"/>
        <v>0.44872200000000001</v>
      </c>
      <c r="N14" s="22">
        <f t="shared" si="11"/>
        <v>106.246925</v>
      </c>
      <c r="P14" s="4" t="s">
        <v>111</v>
      </c>
      <c r="Q14" s="7">
        <v>1781926</v>
      </c>
      <c r="R14" s="7">
        <v>422559</v>
      </c>
      <c r="S14" s="7">
        <v>28227335</v>
      </c>
      <c r="T14" s="7">
        <v>24256139</v>
      </c>
      <c r="U14" s="7">
        <v>433751</v>
      </c>
      <c r="V14" s="7">
        <v>9720659</v>
      </c>
      <c r="W14" s="7">
        <v>20810370</v>
      </c>
      <c r="X14" s="7">
        <v>5089456</v>
      </c>
      <c r="Y14" s="7">
        <v>4083183</v>
      </c>
      <c r="Z14" s="7">
        <v>4606434</v>
      </c>
      <c r="AA14" s="7">
        <v>6366391</v>
      </c>
      <c r="AB14" s="7">
        <v>448722</v>
      </c>
      <c r="AC14" s="7">
        <f t="shared" si="12"/>
        <v>106246925</v>
      </c>
    </row>
    <row r="15" spans="1:29" x14ac:dyDescent="0.2">
      <c r="A15" s="8" t="s">
        <v>20</v>
      </c>
      <c r="B15" s="22">
        <f>SUM(B3:B14)</f>
        <v>18.483862000000002</v>
      </c>
      <c r="C15" s="22">
        <f t="shared" ref="C15:M15" si="14">SUM(C3:C14)</f>
        <v>5.1804249999999996</v>
      </c>
      <c r="D15" s="22">
        <f t="shared" si="14"/>
        <v>316.508622</v>
      </c>
      <c r="E15" s="22">
        <f t="shared" si="14"/>
        <v>409.16399200000001</v>
      </c>
      <c r="F15" s="22">
        <f t="shared" si="14"/>
        <v>3.9329890000000001</v>
      </c>
      <c r="G15" s="22">
        <f t="shared" si="14"/>
        <v>174.59097600000001</v>
      </c>
      <c r="H15" s="22">
        <f t="shared" si="14"/>
        <v>230.71311800000001</v>
      </c>
      <c r="I15" s="22">
        <f t="shared" si="14"/>
        <v>82.185432000000006</v>
      </c>
      <c r="J15" s="22">
        <f t="shared" si="14"/>
        <v>65.432243</v>
      </c>
      <c r="K15" s="22">
        <f t="shared" si="14"/>
        <v>31.550469</v>
      </c>
      <c r="L15" s="22">
        <f t="shared" si="14"/>
        <v>93.017982000000018</v>
      </c>
      <c r="M15" s="22">
        <f t="shared" si="14"/>
        <v>5.7873920000000005</v>
      </c>
      <c r="N15" s="22">
        <f t="shared" si="11"/>
        <v>1436.5475020000001</v>
      </c>
      <c r="P15" s="8" t="s">
        <v>20</v>
      </c>
      <c r="Q15" s="7">
        <f>SUM(Q3:Q14)</f>
        <v>18483862</v>
      </c>
      <c r="R15" s="7">
        <f t="shared" ref="R15" si="15">SUM(R3:R14)</f>
        <v>5180425</v>
      </c>
      <c r="S15" s="7">
        <f t="shared" ref="S15" si="16">SUM(S3:S14)</f>
        <v>316508622</v>
      </c>
      <c r="T15" s="7">
        <f t="shared" ref="T15" si="17">SUM(T3:T14)</f>
        <v>409163992</v>
      </c>
      <c r="U15" s="7">
        <f t="shared" ref="U15" si="18">SUM(U3:U14)</f>
        <v>3932989</v>
      </c>
      <c r="V15" s="7">
        <f t="shared" ref="V15" si="19">SUM(V3:V14)</f>
        <v>174590976</v>
      </c>
      <c r="W15" s="7">
        <f t="shared" ref="W15" si="20">SUM(W3:W14)</f>
        <v>230713118</v>
      </c>
      <c r="X15" s="7">
        <f t="shared" ref="X15" si="21">SUM(X3:X14)</f>
        <v>82185432</v>
      </c>
      <c r="Y15" s="7">
        <f t="shared" ref="Y15" si="22">SUM(Y3:Y14)</f>
        <v>65432243</v>
      </c>
      <c r="Z15" s="7">
        <f t="shared" ref="Z15" si="23">SUM(Z3:Z14)</f>
        <v>31550469</v>
      </c>
      <c r="AA15" s="7">
        <f t="shared" ref="AA15" si="24">SUM(AA3:AA14)</f>
        <v>93017982</v>
      </c>
      <c r="AB15" s="7">
        <f t="shared" ref="AB15" si="25">SUM(AB3:AB14)</f>
        <v>5787392</v>
      </c>
      <c r="AC15" s="7">
        <f t="shared" ref="AC15" si="26">SUM(AC3:AC14)</f>
        <v>1436547502</v>
      </c>
    </row>
    <row r="16" spans="1:29" x14ac:dyDescent="0.2">
      <c r="A16" s="15" t="s">
        <v>38</v>
      </c>
      <c r="B16" s="23">
        <f>AVERAGE(B3:B14)</f>
        <v>1.5403218333333335</v>
      </c>
      <c r="C16" s="23">
        <f t="shared" ref="C16:M16" si="27">AVERAGE(C3:C14)</f>
        <v>0.43170208333333332</v>
      </c>
      <c r="D16" s="23">
        <f t="shared" si="27"/>
        <v>26.375718500000001</v>
      </c>
      <c r="E16" s="23">
        <f t="shared" si="27"/>
        <v>34.096999333333336</v>
      </c>
      <c r="F16" s="23">
        <f t="shared" si="27"/>
        <v>0.32774908333333336</v>
      </c>
      <c r="G16" s="23">
        <f t="shared" si="27"/>
        <v>14.549248</v>
      </c>
      <c r="H16" s="23">
        <f t="shared" si="27"/>
        <v>19.226093166666669</v>
      </c>
      <c r="I16" s="23">
        <f t="shared" si="27"/>
        <v>6.8487860000000005</v>
      </c>
      <c r="J16" s="23">
        <f t="shared" si="27"/>
        <v>5.4526869166666669</v>
      </c>
      <c r="K16" s="23">
        <f t="shared" si="27"/>
        <v>2.6292057500000001</v>
      </c>
      <c r="L16" s="23">
        <f t="shared" si="27"/>
        <v>7.7514985000000012</v>
      </c>
      <c r="M16" s="23">
        <f t="shared" si="27"/>
        <v>0.48228266666666669</v>
      </c>
    </row>
    <row r="17" spans="1:15" x14ac:dyDescent="0.2">
      <c r="A17" s="59" t="s">
        <v>129</v>
      </c>
      <c r="B17" s="23">
        <v>15.943277</v>
      </c>
      <c r="C17" s="23">
        <v>2.0008599999999999</v>
      </c>
      <c r="D17" s="23">
        <v>172.03639100000001</v>
      </c>
      <c r="E17" s="23">
        <v>405.060654</v>
      </c>
      <c r="F17" s="23">
        <v>6.3843249999999996</v>
      </c>
      <c r="G17" s="23">
        <v>163.27644599999999</v>
      </c>
      <c r="H17" s="23">
        <v>360.64454699999999</v>
      </c>
      <c r="I17" s="23">
        <v>70.647366000000005</v>
      </c>
      <c r="J17" s="23">
        <v>56.956518000000003</v>
      </c>
      <c r="K17" s="23">
        <v>13.084823</v>
      </c>
      <c r="L17" s="23">
        <v>77.176446999999996</v>
      </c>
      <c r="M17" s="23">
        <v>7.6517379999999999</v>
      </c>
      <c r="N17" s="22">
        <f t="shared" ref="N17" si="28">SUM(B17:M17)</f>
        <v>1350.863392</v>
      </c>
    </row>
    <row r="19" spans="1:15" x14ac:dyDescent="0.2">
      <c r="B19" s="247" t="s">
        <v>39</v>
      </c>
      <c r="C19" s="248"/>
      <c r="D19" s="248"/>
      <c r="E19" s="248"/>
      <c r="F19" s="248"/>
      <c r="G19" s="248"/>
      <c r="H19" s="248"/>
      <c r="I19" s="248"/>
      <c r="J19" s="248"/>
      <c r="K19" s="248"/>
      <c r="L19" s="248"/>
      <c r="M19" s="248"/>
    </row>
    <row r="20" spans="1:15" x14ac:dyDescent="0.2">
      <c r="A20" s="15" t="s">
        <v>21</v>
      </c>
      <c r="B20" s="6" t="s">
        <v>7</v>
      </c>
      <c r="C20" s="6" t="s">
        <v>8</v>
      </c>
      <c r="D20" s="6" t="s">
        <v>9</v>
      </c>
      <c r="E20" s="6" t="s">
        <v>10</v>
      </c>
      <c r="F20" s="6" t="s">
        <v>11</v>
      </c>
      <c r="G20" s="4" t="s">
        <v>19</v>
      </c>
      <c r="H20" s="2" t="s">
        <v>12</v>
      </c>
      <c r="I20" s="4" t="s">
        <v>13</v>
      </c>
      <c r="J20" s="4" t="s">
        <v>25</v>
      </c>
      <c r="K20" s="4" t="s">
        <v>14</v>
      </c>
      <c r="L20" s="4" t="s">
        <v>17</v>
      </c>
      <c r="M20" s="4" t="s">
        <v>15</v>
      </c>
    </row>
    <row r="21" spans="1:15" x14ac:dyDescent="0.2">
      <c r="A21" s="16">
        <v>42278</v>
      </c>
      <c r="B21" s="17">
        <f t="shared" ref="B21:B32" si="29">B3-B$16</f>
        <v>-0.40753883333333341</v>
      </c>
      <c r="C21" s="17">
        <f t="shared" ref="C21:M21" si="30">C3-C$16</f>
        <v>-0.20062808333333332</v>
      </c>
      <c r="D21" s="17">
        <f t="shared" si="30"/>
        <v>-7.9978265000000022</v>
      </c>
      <c r="E21" s="17">
        <f t="shared" si="30"/>
        <v>-5.2005523333333379</v>
      </c>
      <c r="F21" s="17">
        <f t="shared" si="30"/>
        <v>0.24764691666666666</v>
      </c>
      <c r="G21" s="17">
        <f t="shared" si="30"/>
        <v>1.6244000000000369E-2</v>
      </c>
      <c r="H21" s="17">
        <f t="shared" si="30"/>
        <v>-2.5244651666666691</v>
      </c>
      <c r="I21" s="17">
        <f t="shared" si="30"/>
        <v>-0.39213900000000024</v>
      </c>
      <c r="J21" s="17">
        <f t="shared" si="30"/>
        <v>0.1261160833333328</v>
      </c>
      <c r="K21" s="17">
        <f t="shared" si="30"/>
        <v>-2.00076075</v>
      </c>
      <c r="L21" s="17">
        <f t="shared" si="30"/>
        <v>2.2773374999999989</v>
      </c>
      <c r="M21" s="17">
        <f t="shared" si="30"/>
        <v>0.31635233333333329</v>
      </c>
      <c r="N21" s="18"/>
      <c r="O21" s="18"/>
    </row>
    <row r="22" spans="1:15" x14ac:dyDescent="0.2">
      <c r="A22" s="16">
        <v>42309</v>
      </c>
      <c r="B22" s="17">
        <f t="shared" si="29"/>
        <v>0.87871716666666666</v>
      </c>
      <c r="C22" s="17">
        <f t="shared" ref="C22:M22" si="31">C4-C$16</f>
        <v>-0.19555208333333332</v>
      </c>
      <c r="D22" s="17">
        <f t="shared" si="31"/>
        <v>-3.097739500000003</v>
      </c>
      <c r="E22" s="17">
        <f t="shared" si="31"/>
        <v>-8.5672263333333376</v>
      </c>
      <c r="F22" s="17">
        <f t="shared" si="31"/>
        <v>-5.3583083333333337E-2</v>
      </c>
      <c r="G22" s="17">
        <f t="shared" si="31"/>
        <v>0.88155899999999932</v>
      </c>
      <c r="H22" s="17">
        <f t="shared" si="31"/>
        <v>-0.10175416666666948</v>
      </c>
      <c r="I22" s="17">
        <f t="shared" si="31"/>
        <v>-1.7207200000000009</v>
      </c>
      <c r="J22" s="17">
        <f t="shared" si="31"/>
        <v>0.92859808333333316</v>
      </c>
      <c r="K22" s="17">
        <f t="shared" si="31"/>
        <v>-1.97234775</v>
      </c>
      <c r="L22" s="17">
        <f t="shared" si="31"/>
        <v>1.2829464999999987</v>
      </c>
      <c r="M22" s="17">
        <f t="shared" si="31"/>
        <v>0.16516733333333328</v>
      </c>
    </row>
    <row r="23" spans="1:15" x14ac:dyDescent="0.2">
      <c r="A23" s="16">
        <v>42339</v>
      </c>
      <c r="B23" s="17">
        <f t="shared" si="29"/>
        <v>-0.56997583333333346</v>
      </c>
      <c r="C23" s="17">
        <f t="shared" ref="C23:M23" si="32">C5-C$16</f>
        <v>-0.15161208333333331</v>
      </c>
      <c r="D23" s="17">
        <f t="shared" si="32"/>
        <v>-7.8450575000000029</v>
      </c>
      <c r="E23" s="17">
        <f t="shared" si="32"/>
        <v>-8.3299113333333352</v>
      </c>
      <c r="F23" s="17">
        <f t="shared" si="32"/>
        <v>2.5091666666665624E-4</v>
      </c>
      <c r="G23" s="17">
        <f t="shared" si="32"/>
        <v>-1.8058189999999996</v>
      </c>
      <c r="H23" s="17">
        <f t="shared" si="32"/>
        <v>-1.0123281666666699</v>
      </c>
      <c r="I23" s="17">
        <f t="shared" si="32"/>
        <v>-1.3617410000000003</v>
      </c>
      <c r="J23" s="17">
        <f t="shared" si="32"/>
        <v>2.8413380833333326</v>
      </c>
      <c r="K23" s="17">
        <f t="shared" si="32"/>
        <v>-1.0206677500000001</v>
      </c>
      <c r="L23" s="17">
        <f t="shared" si="32"/>
        <v>0.11429849999999853</v>
      </c>
      <c r="M23" s="17">
        <f t="shared" si="32"/>
        <v>-1.1694666666666687E-2</v>
      </c>
    </row>
    <row r="24" spans="1:15" x14ac:dyDescent="0.2">
      <c r="A24" s="16">
        <v>42370</v>
      </c>
      <c r="B24" s="17">
        <f t="shared" si="29"/>
        <v>2.981816666666659E-2</v>
      </c>
      <c r="C24" s="17">
        <f t="shared" ref="C24:M24" si="33">C6-C$16</f>
        <v>-7.7516083333333319E-2</v>
      </c>
      <c r="D24" s="17">
        <f t="shared" si="33"/>
        <v>0.99885149999999712</v>
      </c>
      <c r="E24" s="17">
        <f t="shared" si="33"/>
        <v>-2.0008763333333377</v>
      </c>
      <c r="F24" s="17">
        <f t="shared" si="33"/>
        <v>-0.12399108333333336</v>
      </c>
      <c r="G24" s="17">
        <f t="shared" si="33"/>
        <v>-3.2244919999999997</v>
      </c>
      <c r="H24" s="17">
        <f t="shared" si="33"/>
        <v>2.4348638333333312</v>
      </c>
      <c r="I24" s="17">
        <f t="shared" si="33"/>
        <v>0.27715799999999913</v>
      </c>
      <c r="J24" s="17">
        <f t="shared" si="33"/>
        <v>9.1962083333332778E-2</v>
      </c>
      <c r="K24" s="17">
        <f t="shared" si="33"/>
        <v>-1.1627027500000002</v>
      </c>
      <c r="L24" s="17">
        <f t="shared" si="33"/>
        <v>0.27987549999999839</v>
      </c>
      <c r="M24" s="17">
        <f t="shared" si="33"/>
        <v>4.7613333333333341E-2</v>
      </c>
    </row>
    <row r="25" spans="1:15" x14ac:dyDescent="0.2">
      <c r="A25" s="16">
        <v>42401</v>
      </c>
      <c r="B25" s="17">
        <f t="shared" si="29"/>
        <v>-0.14636183333333341</v>
      </c>
      <c r="C25" s="17">
        <f t="shared" ref="C25:M25" si="34">C7-C$16</f>
        <v>-0.12036008333333331</v>
      </c>
      <c r="D25" s="17">
        <f t="shared" si="34"/>
        <v>-2.1100415000000012</v>
      </c>
      <c r="E25" s="17">
        <f t="shared" si="34"/>
        <v>-1.9377863333333352</v>
      </c>
      <c r="F25" s="17">
        <f t="shared" si="34"/>
        <v>-0.22746208333333334</v>
      </c>
      <c r="G25" s="17">
        <f t="shared" si="34"/>
        <v>2.5847549999999995</v>
      </c>
      <c r="H25" s="17">
        <f t="shared" si="34"/>
        <v>-1.9066051666666688</v>
      </c>
      <c r="I25" s="17">
        <f t="shared" si="34"/>
        <v>0.99716299999999958</v>
      </c>
      <c r="J25" s="17">
        <f t="shared" si="34"/>
        <v>0.77932308333333289</v>
      </c>
      <c r="K25" s="17">
        <f t="shared" si="34"/>
        <v>0.31696524999999998</v>
      </c>
      <c r="L25" s="17">
        <f t="shared" si="34"/>
        <v>0.26623549999999963</v>
      </c>
      <c r="M25" s="17">
        <f t="shared" si="34"/>
        <v>3.2258333333333333E-2</v>
      </c>
    </row>
    <row r="26" spans="1:15" x14ac:dyDescent="0.2">
      <c r="A26" s="16">
        <v>42430</v>
      </c>
      <c r="B26" s="17">
        <f t="shared" si="29"/>
        <v>0.24888616666666641</v>
      </c>
      <c r="C26" s="17">
        <f t="shared" ref="C26:M26" si="35">C8-C$16</f>
        <v>-5.2762083333333321E-2</v>
      </c>
      <c r="D26" s="17">
        <f t="shared" si="35"/>
        <v>6.3895884999999986</v>
      </c>
      <c r="E26" s="17">
        <f t="shared" si="35"/>
        <v>-0.33012433333333746</v>
      </c>
      <c r="F26" s="17">
        <f t="shared" si="35"/>
        <v>-0.28646908333333337</v>
      </c>
      <c r="G26" s="17">
        <f t="shared" si="35"/>
        <v>3.2264350000000004</v>
      </c>
      <c r="H26" s="17">
        <f t="shared" si="35"/>
        <v>1.5755188333333301</v>
      </c>
      <c r="I26" s="17">
        <f t="shared" si="35"/>
        <v>1.3760709999999996</v>
      </c>
      <c r="J26" s="17">
        <f t="shared" si="35"/>
        <v>-0.26335691666666694</v>
      </c>
      <c r="K26" s="17">
        <f t="shared" si="35"/>
        <v>-0.79977675000000015</v>
      </c>
      <c r="L26" s="17">
        <f t="shared" si="35"/>
        <v>-0.44850350000000105</v>
      </c>
      <c r="M26" s="17">
        <f t="shared" si="35"/>
        <v>1.8774333333333282E-2</v>
      </c>
    </row>
    <row r="27" spans="1:15" x14ac:dyDescent="0.2">
      <c r="A27" s="16">
        <v>42461</v>
      </c>
      <c r="B27" s="17">
        <f t="shared" si="29"/>
        <v>-8.2508833333333476E-2</v>
      </c>
      <c r="C27" s="17">
        <f t="shared" ref="C27:M27" si="36">C9-C$16</f>
        <v>-5.0601083333333297E-2</v>
      </c>
      <c r="D27" s="17">
        <f t="shared" si="36"/>
        <v>3.7020944999999976</v>
      </c>
      <c r="E27" s="17">
        <f t="shared" si="36"/>
        <v>2.7296286666666632</v>
      </c>
      <c r="F27" s="17">
        <f t="shared" si="36"/>
        <v>-0.22541708333333335</v>
      </c>
      <c r="G27" s="17">
        <f t="shared" si="36"/>
        <v>-1.5238110000000002</v>
      </c>
      <c r="H27" s="17">
        <f t="shared" si="36"/>
        <v>1.702240833333331</v>
      </c>
      <c r="I27" s="17">
        <f t="shared" si="36"/>
        <v>2.215795</v>
      </c>
      <c r="J27" s="17">
        <f t="shared" si="36"/>
        <v>-1.002770916666667</v>
      </c>
      <c r="K27" s="17">
        <f t="shared" si="36"/>
        <v>-0.29108575000000014</v>
      </c>
      <c r="L27" s="17">
        <f t="shared" si="36"/>
        <v>-0.3777575000000013</v>
      </c>
      <c r="M27" s="17">
        <f t="shared" si="36"/>
        <v>-1.0973666666666715E-2</v>
      </c>
    </row>
    <row r="28" spans="1:15" x14ac:dyDescent="0.2">
      <c r="A28" s="16">
        <v>42491</v>
      </c>
      <c r="B28" s="17">
        <f t="shared" si="29"/>
        <v>-0.51304083333333339</v>
      </c>
      <c r="C28" s="17">
        <f t="shared" ref="C28:M28" si="37">C10-C$16</f>
        <v>1.9699916666666706E-2</v>
      </c>
      <c r="D28" s="17">
        <f t="shared" si="37"/>
        <v>8.6646915</v>
      </c>
      <c r="E28" s="17">
        <f t="shared" si="37"/>
        <v>3.886293666666667</v>
      </c>
      <c r="F28" s="17">
        <f t="shared" si="37"/>
        <v>-0.11120008333333337</v>
      </c>
      <c r="G28" s="17">
        <f t="shared" si="37"/>
        <v>3.4041489999999985</v>
      </c>
      <c r="H28" s="17">
        <f t="shared" si="37"/>
        <v>0.291543833333332</v>
      </c>
      <c r="I28" s="17">
        <f t="shared" si="37"/>
        <v>-1.2320660000000005</v>
      </c>
      <c r="J28" s="17">
        <f t="shared" si="37"/>
        <v>-1.2487029166666668</v>
      </c>
      <c r="K28" s="17">
        <f t="shared" si="37"/>
        <v>1.1124922499999998</v>
      </c>
      <c r="L28" s="17">
        <f t="shared" si="37"/>
        <v>1.2126184999999987</v>
      </c>
      <c r="M28" s="17">
        <f t="shared" si="37"/>
        <v>-9.9630666666666701E-2</v>
      </c>
    </row>
    <row r="29" spans="1:15" x14ac:dyDescent="0.2">
      <c r="A29" s="16">
        <v>42522</v>
      </c>
      <c r="B29" s="17">
        <f t="shared" si="29"/>
        <v>-0.24007683333333341</v>
      </c>
      <c r="C29" s="17">
        <f t="shared" ref="C29:M29" si="38">C11-C$16</f>
        <v>2.2029916666666705E-2</v>
      </c>
      <c r="D29" s="17">
        <f t="shared" si="38"/>
        <v>-2.4079375000000027</v>
      </c>
      <c r="E29" s="17">
        <f t="shared" si="38"/>
        <v>6.0638946666666627</v>
      </c>
      <c r="F29" s="17">
        <f t="shared" si="38"/>
        <v>0.21390991666666664</v>
      </c>
      <c r="G29" s="17">
        <f t="shared" si="38"/>
        <v>2.9192650000000011</v>
      </c>
      <c r="H29" s="17">
        <f t="shared" si="38"/>
        <v>-1.96718816666667</v>
      </c>
      <c r="I29" s="17">
        <f t="shared" si="38"/>
        <v>0.92941499999999966</v>
      </c>
      <c r="J29" s="17">
        <f t="shared" si="38"/>
        <v>-1.3135219166666667</v>
      </c>
      <c r="K29" s="17">
        <f t="shared" si="38"/>
        <v>1.7647722499999996</v>
      </c>
      <c r="L29" s="17">
        <f t="shared" si="38"/>
        <v>-0.84224050000000084</v>
      </c>
      <c r="M29" s="17">
        <f t="shared" si="38"/>
        <v>-0.14684766666666671</v>
      </c>
    </row>
    <row r="30" spans="1:15" x14ac:dyDescent="0.2">
      <c r="A30" s="16">
        <v>42552</v>
      </c>
      <c r="B30" s="17">
        <f t="shared" si="29"/>
        <v>0.4449021666666666</v>
      </c>
      <c r="C30" s="17">
        <f t="shared" ref="C30:M30" si="39">C12-C$16</f>
        <v>0.86263091666666658</v>
      </c>
      <c r="D30" s="17">
        <f t="shared" si="39"/>
        <v>-2.2636874999999996</v>
      </c>
      <c r="E30" s="17">
        <f t="shared" si="39"/>
        <v>33.808032666666669</v>
      </c>
      <c r="F30" s="17">
        <f t="shared" si="39"/>
        <v>-0.17243008333333334</v>
      </c>
      <c r="G30" s="17">
        <f t="shared" si="39"/>
        <v>-2.0900180000000006</v>
      </c>
      <c r="H30" s="17">
        <f t="shared" si="39"/>
        <v>-1.7038321666666683</v>
      </c>
      <c r="I30" s="17">
        <f t="shared" si="39"/>
        <v>2.3041859999999996</v>
      </c>
      <c r="J30" s="17">
        <f t="shared" si="39"/>
        <v>0.3741420833333331</v>
      </c>
      <c r="K30" s="17">
        <f t="shared" si="39"/>
        <v>-0.11839475000000022</v>
      </c>
      <c r="L30" s="17">
        <f t="shared" si="39"/>
        <v>0.34879349999999842</v>
      </c>
      <c r="M30" s="17">
        <f t="shared" si="39"/>
        <v>-0.15369366666666667</v>
      </c>
    </row>
    <row r="31" spans="1:15" x14ac:dyDescent="0.2">
      <c r="A31" s="16">
        <v>42583</v>
      </c>
      <c r="B31" s="17">
        <f t="shared" si="29"/>
        <v>0.11557516666666645</v>
      </c>
      <c r="C31" s="17">
        <f t="shared" ref="C31:M31" si="40">C13-C$16</f>
        <v>-4.6186083333333294E-2</v>
      </c>
      <c r="D31" s="17">
        <f t="shared" si="40"/>
        <v>4.1154474999999984</v>
      </c>
      <c r="E31" s="17">
        <f t="shared" si="40"/>
        <v>-10.280512333333338</v>
      </c>
      <c r="F31" s="17">
        <f t="shared" si="40"/>
        <v>0.63274291666666671</v>
      </c>
      <c r="G31" s="17">
        <f t="shared" si="40"/>
        <v>0.4403220000000001</v>
      </c>
      <c r="H31" s="17">
        <f t="shared" si="40"/>
        <v>1.6277288333333324</v>
      </c>
      <c r="I31" s="17">
        <f t="shared" si="40"/>
        <v>-1.6337920000000006</v>
      </c>
      <c r="J31" s="17">
        <f t="shared" si="40"/>
        <v>5.6377083333333466E-2</v>
      </c>
      <c r="K31" s="17">
        <f t="shared" si="40"/>
        <v>2.1942782499999995</v>
      </c>
      <c r="L31" s="17">
        <f t="shared" si="40"/>
        <v>-2.7284965000000012</v>
      </c>
      <c r="M31" s="17">
        <f t="shared" si="40"/>
        <v>-0.12376466666666669</v>
      </c>
    </row>
    <row r="32" spans="1:15" x14ac:dyDescent="0.2">
      <c r="A32" s="16">
        <v>42614</v>
      </c>
      <c r="B32" s="17">
        <f t="shared" si="29"/>
        <v>0.2416041666666664</v>
      </c>
      <c r="C32" s="17">
        <f t="shared" ref="C32:M32" si="41">C14-C$16</f>
        <v>-9.1430833333333017E-3</v>
      </c>
      <c r="D32" s="17">
        <f t="shared" si="41"/>
        <v>1.8516164999999987</v>
      </c>
      <c r="E32" s="17">
        <f t="shared" si="41"/>
        <v>-9.8408603333333353</v>
      </c>
      <c r="F32" s="17">
        <f t="shared" si="41"/>
        <v>0.10600191666666664</v>
      </c>
      <c r="G32" s="17">
        <f t="shared" si="41"/>
        <v>-4.8285890000000009</v>
      </c>
      <c r="H32" s="17">
        <f t="shared" si="41"/>
        <v>1.5842768333333304</v>
      </c>
      <c r="I32" s="17">
        <f t="shared" si="41"/>
        <v>-1.7593300000000003</v>
      </c>
      <c r="J32" s="17">
        <f t="shared" si="41"/>
        <v>-1.3695039166666669</v>
      </c>
      <c r="K32" s="17">
        <f t="shared" si="41"/>
        <v>1.97722825</v>
      </c>
      <c r="L32" s="17">
        <f t="shared" si="41"/>
        <v>-1.385107500000001</v>
      </c>
      <c r="M32" s="17">
        <f t="shared" si="41"/>
        <v>-3.3560666666666683E-2</v>
      </c>
    </row>
    <row r="33" spans="1:14" x14ac:dyDescent="0.2">
      <c r="A33" s="15" t="s">
        <v>16</v>
      </c>
      <c r="B33" s="24">
        <f>SUM(B21:B32)</f>
        <v>-1.4432899320127035E-15</v>
      </c>
      <c r="C33" s="24">
        <f t="shared" ref="C33:M33" si="42">SUM(C21:C32)</f>
        <v>5.5511151231257827E-17</v>
      </c>
      <c r="D33" s="24">
        <f t="shared" si="42"/>
        <v>-2.1316282072803006E-14</v>
      </c>
      <c r="E33" s="24">
        <f t="shared" si="42"/>
        <v>-3.1974423109204508E-14</v>
      </c>
      <c r="F33" s="24">
        <f t="shared" si="42"/>
        <v>0</v>
      </c>
      <c r="G33" s="24">
        <f t="shared" si="42"/>
        <v>0</v>
      </c>
      <c r="H33" s="24">
        <f t="shared" si="42"/>
        <v>-2.8421709430404007E-14</v>
      </c>
      <c r="I33" s="24">
        <f t="shared" si="42"/>
        <v>-5.3290705182007514E-15</v>
      </c>
      <c r="J33" s="24">
        <f t="shared" si="42"/>
        <v>-3.5527136788005009E-15</v>
      </c>
      <c r="K33" s="24">
        <f t="shared" si="42"/>
        <v>-1.7763568394002505E-15</v>
      </c>
      <c r="L33" s="24">
        <f t="shared" si="42"/>
        <v>-1.4210854715202004E-14</v>
      </c>
      <c r="M33" s="24">
        <f t="shared" si="42"/>
        <v>-3.8857805861880479E-16</v>
      </c>
    </row>
    <row r="34" spans="1:14" x14ac:dyDescent="0.2"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</row>
    <row r="35" spans="1:14" x14ac:dyDescent="0.2">
      <c r="B35" s="247" t="s">
        <v>40</v>
      </c>
      <c r="C35" s="248"/>
      <c r="D35" s="248"/>
      <c r="E35" s="248"/>
      <c r="F35" s="248"/>
      <c r="G35" s="248"/>
      <c r="H35" s="248"/>
      <c r="I35" s="248"/>
      <c r="J35" s="248"/>
      <c r="K35" s="248"/>
      <c r="L35" s="248"/>
      <c r="M35" s="248"/>
    </row>
    <row r="36" spans="1:14" x14ac:dyDescent="0.2">
      <c r="A36" s="15" t="s">
        <v>21</v>
      </c>
      <c r="B36" s="6" t="s">
        <v>7</v>
      </c>
      <c r="C36" s="6" t="s">
        <v>8</v>
      </c>
      <c r="D36" s="6" t="s">
        <v>9</v>
      </c>
      <c r="E36" s="6" t="s">
        <v>10</v>
      </c>
      <c r="F36" s="6" t="s">
        <v>11</v>
      </c>
      <c r="G36" s="4" t="s">
        <v>19</v>
      </c>
      <c r="H36" s="2" t="s">
        <v>12</v>
      </c>
      <c r="I36" s="4" t="s">
        <v>13</v>
      </c>
      <c r="J36" s="4" t="s">
        <v>25</v>
      </c>
      <c r="K36" s="4" t="s">
        <v>14</v>
      </c>
      <c r="L36" s="4" t="s">
        <v>17</v>
      </c>
      <c r="M36" s="4" t="s">
        <v>15</v>
      </c>
    </row>
    <row r="37" spans="1:14" x14ac:dyDescent="0.2">
      <c r="A37" s="16">
        <v>42278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</row>
    <row r="38" spans="1:14" x14ac:dyDescent="0.2">
      <c r="A38" s="16">
        <v>42309</v>
      </c>
      <c r="B38" s="17">
        <f>B4-B3</f>
        <v>1.2862560000000001</v>
      </c>
      <c r="C38" s="17">
        <f t="shared" ref="C38:M38" si="43">C4-C3</f>
        <v>5.0759999999999972E-3</v>
      </c>
      <c r="D38" s="17">
        <f t="shared" si="43"/>
        <v>4.9000869999999992</v>
      </c>
      <c r="E38" s="17">
        <f t="shared" si="43"/>
        <v>-3.3666739999999997</v>
      </c>
      <c r="F38" s="17">
        <f t="shared" si="43"/>
        <v>-0.30123</v>
      </c>
      <c r="G38" s="17">
        <f t="shared" si="43"/>
        <v>0.86531499999999895</v>
      </c>
      <c r="H38" s="17">
        <f t="shared" si="43"/>
        <v>2.4227109999999996</v>
      </c>
      <c r="I38" s="17">
        <f t="shared" si="43"/>
        <v>-1.3285810000000007</v>
      </c>
      <c r="J38" s="17">
        <f t="shared" si="43"/>
        <v>0.80248200000000036</v>
      </c>
      <c r="K38" s="17">
        <f t="shared" si="43"/>
        <v>2.8413000000000022E-2</v>
      </c>
      <c r="L38" s="17">
        <f t="shared" si="43"/>
        <v>-0.99439100000000025</v>
      </c>
      <c r="M38" s="17">
        <f t="shared" si="43"/>
        <v>-0.15118500000000001</v>
      </c>
      <c r="N38" s="20"/>
    </row>
    <row r="39" spans="1:14" x14ac:dyDescent="0.2">
      <c r="A39" s="16">
        <v>42339</v>
      </c>
      <c r="B39" s="17">
        <f t="shared" ref="B39:M48" si="44">B5-B4</f>
        <v>-1.448693</v>
      </c>
      <c r="C39" s="17">
        <f t="shared" si="44"/>
        <v>4.3940000000000007E-2</v>
      </c>
      <c r="D39" s="17">
        <f t="shared" si="44"/>
        <v>-4.7473179999999999</v>
      </c>
      <c r="E39" s="17">
        <f t="shared" si="44"/>
        <v>0.23731500000000239</v>
      </c>
      <c r="F39" s="17">
        <f t="shared" si="44"/>
        <v>5.3833999999999993E-2</v>
      </c>
      <c r="G39" s="17">
        <f t="shared" si="44"/>
        <v>-2.6873779999999989</v>
      </c>
      <c r="H39" s="17">
        <f t="shared" si="44"/>
        <v>-0.91057400000000044</v>
      </c>
      <c r="I39" s="17">
        <f t="shared" si="44"/>
        <v>0.3589790000000006</v>
      </c>
      <c r="J39" s="17">
        <f t="shared" si="44"/>
        <v>1.9127399999999994</v>
      </c>
      <c r="K39" s="17">
        <f t="shared" si="44"/>
        <v>0.95167999999999997</v>
      </c>
      <c r="L39" s="17">
        <f t="shared" si="44"/>
        <v>-1.1686480000000001</v>
      </c>
      <c r="M39" s="17">
        <f t="shared" si="44"/>
        <v>-0.17686199999999996</v>
      </c>
      <c r="N39" s="20"/>
    </row>
    <row r="40" spans="1:14" x14ac:dyDescent="0.2">
      <c r="A40" s="16">
        <v>42370</v>
      </c>
      <c r="B40" s="17">
        <f t="shared" si="44"/>
        <v>0.59979400000000005</v>
      </c>
      <c r="C40" s="17">
        <f t="shared" si="44"/>
        <v>7.4095999999999995E-2</v>
      </c>
      <c r="D40" s="17">
        <f t="shared" si="44"/>
        <v>8.843909</v>
      </c>
      <c r="E40" s="17">
        <f t="shared" si="44"/>
        <v>6.3290349999999975</v>
      </c>
      <c r="F40" s="17">
        <f t="shared" si="44"/>
        <v>-0.12424200000000002</v>
      </c>
      <c r="G40" s="17">
        <f t="shared" si="44"/>
        <v>-1.4186730000000001</v>
      </c>
      <c r="H40" s="17">
        <f t="shared" si="44"/>
        <v>3.4471920000000011</v>
      </c>
      <c r="I40" s="17">
        <f t="shared" si="44"/>
        <v>1.6388989999999994</v>
      </c>
      <c r="J40" s="17">
        <f t="shared" si="44"/>
        <v>-2.7493759999999998</v>
      </c>
      <c r="K40" s="17">
        <f t="shared" si="44"/>
        <v>-0.14203500000000013</v>
      </c>
      <c r="L40" s="17">
        <f t="shared" si="44"/>
        <v>0.16557699999999986</v>
      </c>
      <c r="M40" s="17">
        <f t="shared" si="44"/>
        <v>5.9308000000000027E-2</v>
      </c>
      <c r="N40" s="20"/>
    </row>
    <row r="41" spans="1:14" x14ac:dyDescent="0.2">
      <c r="A41" s="16">
        <v>42401</v>
      </c>
      <c r="B41" s="17">
        <f t="shared" si="44"/>
        <v>-0.17618</v>
      </c>
      <c r="C41" s="17">
        <f t="shared" si="44"/>
        <v>-4.2843999999999993E-2</v>
      </c>
      <c r="D41" s="17">
        <f t="shared" si="44"/>
        <v>-3.1088929999999984</v>
      </c>
      <c r="E41" s="17">
        <f t="shared" si="44"/>
        <v>6.3090000000002533E-2</v>
      </c>
      <c r="F41" s="17">
        <f t="shared" si="44"/>
        <v>-0.10347099999999999</v>
      </c>
      <c r="G41" s="17">
        <f t="shared" si="44"/>
        <v>5.8092469999999992</v>
      </c>
      <c r="H41" s="17">
        <f t="shared" si="44"/>
        <v>-4.341469</v>
      </c>
      <c r="I41" s="17">
        <f t="shared" si="44"/>
        <v>0.72000500000000045</v>
      </c>
      <c r="J41" s="17">
        <f t="shared" si="44"/>
        <v>0.68736100000000011</v>
      </c>
      <c r="K41" s="17">
        <f t="shared" si="44"/>
        <v>1.4796680000000002</v>
      </c>
      <c r="L41" s="17">
        <f t="shared" si="44"/>
        <v>-1.3639999999998764E-2</v>
      </c>
      <c r="M41" s="17">
        <f t="shared" si="44"/>
        <v>-1.5355000000000008E-2</v>
      </c>
      <c r="N41" s="20"/>
    </row>
    <row r="42" spans="1:14" x14ac:dyDescent="0.2">
      <c r="A42" s="16">
        <v>42430</v>
      </c>
      <c r="B42" s="17">
        <f t="shared" si="44"/>
        <v>0.39524799999999982</v>
      </c>
      <c r="C42" s="17">
        <f t="shared" si="44"/>
        <v>6.7597999999999991E-2</v>
      </c>
      <c r="D42" s="17">
        <f t="shared" si="44"/>
        <v>8.4996299999999998</v>
      </c>
      <c r="E42" s="17">
        <f t="shared" si="44"/>
        <v>1.6076619999999977</v>
      </c>
      <c r="F42" s="17">
        <f t="shared" si="44"/>
        <v>-5.9007000000000004E-2</v>
      </c>
      <c r="G42" s="17">
        <f t="shared" si="44"/>
        <v>0.64168000000000092</v>
      </c>
      <c r="H42" s="17">
        <f t="shared" si="44"/>
        <v>3.4821239999999989</v>
      </c>
      <c r="I42" s="17">
        <f t="shared" si="44"/>
        <v>0.37890800000000002</v>
      </c>
      <c r="J42" s="17">
        <f t="shared" si="44"/>
        <v>-1.0426799999999998</v>
      </c>
      <c r="K42" s="17">
        <f t="shared" si="44"/>
        <v>-1.1167420000000001</v>
      </c>
      <c r="L42" s="17">
        <f t="shared" si="44"/>
        <v>-0.71473900000000068</v>
      </c>
      <c r="M42" s="17">
        <f t="shared" si="44"/>
        <v>-1.3484000000000052E-2</v>
      </c>
      <c r="N42" s="20"/>
    </row>
    <row r="43" spans="1:14" x14ac:dyDescent="0.2">
      <c r="A43" s="16">
        <v>42461</v>
      </c>
      <c r="B43" s="17">
        <f t="shared" si="44"/>
        <v>-0.33139499999999988</v>
      </c>
      <c r="C43" s="17">
        <f t="shared" si="44"/>
        <v>2.161000000000024E-3</v>
      </c>
      <c r="D43" s="17">
        <f t="shared" si="44"/>
        <v>-2.6874940000000009</v>
      </c>
      <c r="E43" s="17">
        <f t="shared" si="44"/>
        <v>3.0597530000000006</v>
      </c>
      <c r="F43" s="17">
        <f t="shared" si="44"/>
        <v>6.1052000000000009E-2</v>
      </c>
      <c r="G43" s="17">
        <f t="shared" si="44"/>
        <v>-4.7502460000000006</v>
      </c>
      <c r="H43" s="17">
        <f t="shared" si="44"/>
        <v>0.12672200000000089</v>
      </c>
      <c r="I43" s="17">
        <f t="shared" si="44"/>
        <v>0.83972400000000036</v>
      </c>
      <c r="J43" s="17">
        <f t="shared" si="44"/>
        <v>-0.73941400000000002</v>
      </c>
      <c r="K43" s="17">
        <f t="shared" si="44"/>
        <v>0.508691</v>
      </c>
      <c r="L43" s="17">
        <f t="shared" si="44"/>
        <v>7.0745999999999754E-2</v>
      </c>
      <c r="M43" s="17">
        <f t="shared" si="44"/>
        <v>-2.9747999999999997E-2</v>
      </c>
      <c r="N43" s="20"/>
    </row>
    <row r="44" spans="1:14" x14ac:dyDescent="0.2">
      <c r="A44" s="16">
        <v>42491</v>
      </c>
      <c r="B44" s="17">
        <f t="shared" si="44"/>
        <v>-0.43053199999999991</v>
      </c>
      <c r="C44" s="17">
        <f t="shared" si="44"/>
        <v>7.0301000000000002E-2</v>
      </c>
      <c r="D44" s="17">
        <f t="shared" si="44"/>
        <v>4.9625970000000024</v>
      </c>
      <c r="E44" s="17">
        <f t="shared" si="44"/>
        <v>1.1566650000000038</v>
      </c>
      <c r="F44" s="17">
        <f t="shared" si="44"/>
        <v>0.11421699999999999</v>
      </c>
      <c r="G44" s="17">
        <f t="shared" si="44"/>
        <v>4.9279599999999988</v>
      </c>
      <c r="H44" s="17">
        <f t="shared" si="44"/>
        <v>-1.410696999999999</v>
      </c>
      <c r="I44" s="17">
        <f t="shared" si="44"/>
        <v>-3.4478610000000005</v>
      </c>
      <c r="J44" s="17">
        <f t="shared" si="44"/>
        <v>-0.24593199999999982</v>
      </c>
      <c r="K44" s="17">
        <f t="shared" si="44"/>
        <v>1.403578</v>
      </c>
      <c r="L44" s="17">
        <f t="shared" si="44"/>
        <v>1.590376</v>
      </c>
      <c r="M44" s="17">
        <f t="shared" si="44"/>
        <v>-8.8656999999999986E-2</v>
      </c>
      <c r="N44" s="20"/>
    </row>
    <row r="45" spans="1:14" x14ac:dyDescent="0.2">
      <c r="A45" s="16">
        <v>42522</v>
      </c>
      <c r="B45" s="17">
        <f t="shared" si="44"/>
        <v>0.27296399999999998</v>
      </c>
      <c r="C45" s="17">
        <f t="shared" si="44"/>
        <v>2.3299999999999987E-3</v>
      </c>
      <c r="D45" s="17">
        <f t="shared" si="44"/>
        <v>-11.072629000000003</v>
      </c>
      <c r="E45" s="17">
        <f t="shared" si="44"/>
        <v>2.1776009999999957</v>
      </c>
      <c r="F45" s="17">
        <f t="shared" si="44"/>
        <v>0.32511000000000001</v>
      </c>
      <c r="G45" s="17">
        <f t="shared" si="44"/>
        <v>-0.48488399999999743</v>
      </c>
      <c r="H45" s="17">
        <f t="shared" si="44"/>
        <v>-2.258732000000002</v>
      </c>
      <c r="I45" s="17">
        <f t="shared" si="44"/>
        <v>2.1614810000000002</v>
      </c>
      <c r="J45" s="17">
        <f t="shared" si="44"/>
        <v>-6.481899999999996E-2</v>
      </c>
      <c r="K45" s="17">
        <f t="shared" si="44"/>
        <v>0.65227999999999975</v>
      </c>
      <c r="L45" s="17">
        <f t="shared" si="44"/>
        <v>-2.0548589999999995</v>
      </c>
      <c r="M45" s="17">
        <f t="shared" si="44"/>
        <v>-4.7217000000000009E-2</v>
      </c>
      <c r="N45" s="20"/>
    </row>
    <row r="46" spans="1:14" x14ac:dyDescent="0.2">
      <c r="A46" s="16">
        <v>42552</v>
      </c>
      <c r="B46" s="17">
        <f t="shared" si="44"/>
        <v>0.684979</v>
      </c>
      <c r="C46" s="17">
        <f t="shared" si="44"/>
        <v>0.84060099999999993</v>
      </c>
      <c r="D46" s="17">
        <f t="shared" si="44"/>
        <v>0.1442500000000031</v>
      </c>
      <c r="E46" s="17">
        <f t="shared" si="44"/>
        <v>27.744138000000007</v>
      </c>
      <c r="F46" s="17">
        <f t="shared" si="44"/>
        <v>-0.38634000000000002</v>
      </c>
      <c r="G46" s="17">
        <f t="shared" si="44"/>
        <v>-5.0092830000000017</v>
      </c>
      <c r="H46" s="17">
        <f t="shared" si="44"/>
        <v>0.2633560000000017</v>
      </c>
      <c r="I46" s="17">
        <f t="shared" si="44"/>
        <v>1.374771</v>
      </c>
      <c r="J46" s="17">
        <f t="shared" si="44"/>
        <v>1.6876639999999998</v>
      </c>
      <c r="K46" s="17">
        <f t="shared" si="44"/>
        <v>-1.8831669999999998</v>
      </c>
      <c r="L46" s="17">
        <f t="shared" si="44"/>
        <v>1.1910339999999993</v>
      </c>
      <c r="M46" s="17">
        <f t="shared" si="44"/>
        <v>-6.8459999999999632E-3</v>
      </c>
      <c r="N46" s="20"/>
    </row>
    <row r="47" spans="1:14" x14ac:dyDescent="0.2">
      <c r="A47" s="16">
        <v>42583</v>
      </c>
      <c r="B47" s="17">
        <f t="shared" si="44"/>
        <v>-0.32932700000000015</v>
      </c>
      <c r="C47" s="17">
        <f t="shared" si="44"/>
        <v>-0.90881699999999999</v>
      </c>
      <c r="D47" s="17">
        <f t="shared" si="44"/>
        <v>6.379134999999998</v>
      </c>
      <c r="E47" s="17">
        <f t="shared" si="44"/>
        <v>-44.088545000000011</v>
      </c>
      <c r="F47" s="17">
        <f t="shared" si="44"/>
        <v>0.80517300000000003</v>
      </c>
      <c r="G47" s="17">
        <f t="shared" si="44"/>
        <v>2.5303400000000007</v>
      </c>
      <c r="H47" s="17">
        <f t="shared" si="44"/>
        <v>3.3315610000000007</v>
      </c>
      <c r="I47" s="17">
        <f t="shared" si="44"/>
        <v>-3.9379780000000002</v>
      </c>
      <c r="J47" s="17">
        <f t="shared" si="44"/>
        <v>-0.31776499999999963</v>
      </c>
      <c r="K47" s="17">
        <f t="shared" si="44"/>
        <v>2.3126729999999998</v>
      </c>
      <c r="L47" s="17">
        <f t="shared" si="44"/>
        <v>-3.0772899999999996</v>
      </c>
      <c r="M47" s="17">
        <f t="shared" si="44"/>
        <v>2.9928999999999983E-2</v>
      </c>
      <c r="N47" s="20"/>
    </row>
    <row r="48" spans="1:14" x14ac:dyDescent="0.2">
      <c r="A48" s="16">
        <v>42614</v>
      </c>
      <c r="B48" s="17">
        <f t="shared" si="44"/>
        <v>0.12602899999999995</v>
      </c>
      <c r="C48" s="17">
        <f t="shared" si="44"/>
        <v>3.7042999999999993E-2</v>
      </c>
      <c r="D48" s="17">
        <f t="shared" si="44"/>
        <v>-2.2638309999999997</v>
      </c>
      <c r="E48" s="17">
        <f t="shared" si="44"/>
        <v>0.43965200000000237</v>
      </c>
      <c r="F48" s="17">
        <f t="shared" si="44"/>
        <v>-0.52674100000000001</v>
      </c>
      <c r="G48" s="17">
        <f t="shared" si="44"/>
        <v>-5.268911000000001</v>
      </c>
      <c r="H48" s="17">
        <f t="shared" si="44"/>
        <v>-4.3452000000002045E-2</v>
      </c>
      <c r="I48" s="17">
        <f t="shared" si="44"/>
        <v>-0.12553799999999971</v>
      </c>
      <c r="J48" s="17">
        <f t="shared" si="44"/>
        <v>-1.4258810000000004</v>
      </c>
      <c r="K48" s="17">
        <f t="shared" si="44"/>
        <v>-0.21704999999999952</v>
      </c>
      <c r="L48" s="17">
        <f t="shared" si="44"/>
        <v>1.3433890000000002</v>
      </c>
      <c r="M48" s="17">
        <f t="shared" si="44"/>
        <v>9.0204000000000006E-2</v>
      </c>
      <c r="N48" s="20"/>
    </row>
    <row r="49" spans="1:29" x14ac:dyDescent="0.2">
      <c r="A49" s="15" t="s">
        <v>16</v>
      </c>
      <c r="B49" s="17">
        <f>SUM(B37:B48)</f>
        <v>0.64914299999999991</v>
      </c>
      <c r="H49" s="19"/>
      <c r="I49" s="19"/>
      <c r="J49" s="19"/>
      <c r="L49" s="21"/>
      <c r="M49" s="20"/>
      <c r="N49" s="20"/>
    </row>
    <row r="50" spans="1:29" x14ac:dyDescent="0.2">
      <c r="H50" s="19"/>
      <c r="I50" s="19"/>
      <c r="J50" s="19"/>
      <c r="L50" s="21"/>
      <c r="M50" s="20"/>
      <c r="N50" s="20"/>
    </row>
    <row r="51" spans="1:29" x14ac:dyDescent="0.2">
      <c r="H51" s="19"/>
      <c r="I51" s="19"/>
      <c r="J51" s="19"/>
      <c r="L51" s="21"/>
    </row>
    <row r="52" spans="1:29" x14ac:dyDescent="0.2">
      <c r="H52" s="19"/>
      <c r="I52" s="19"/>
      <c r="J52" s="19"/>
    </row>
    <row r="53" spans="1:29" x14ac:dyDescent="0.2">
      <c r="A53" s="25" t="s">
        <v>42</v>
      </c>
    </row>
    <row r="54" spans="1:29" x14ac:dyDescent="0.2">
      <c r="A54" s="1" t="s">
        <v>32</v>
      </c>
      <c r="B54" s="6" t="s">
        <v>7</v>
      </c>
      <c r="C54" s="6" t="s">
        <v>8</v>
      </c>
      <c r="D54" s="6" t="s">
        <v>9</v>
      </c>
      <c r="E54" s="6" t="s">
        <v>10</v>
      </c>
      <c r="F54" s="6" t="s">
        <v>11</v>
      </c>
      <c r="G54" s="4" t="s">
        <v>19</v>
      </c>
      <c r="H54" s="2" t="s">
        <v>12</v>
      </c>
      <c r="I54" s="4" t="s">
        <v>13</v>
      </c>
      <c r="J54" s="4" t="s">
        <v>25</v>
      </c>
      <c r="K54" s="4" t="s">
        <v>14</v>
      </c>
      <c r="L54" s="4" t="s">
        <v>17</v>
      </c>
      <c r="M54" s="4" t="s">
        <v>15</v>
      </c>
      <c r="N54" s="4" t="s">
        <v>16</v>
      </c>
      <c r="P54" s="1" t="s">
        <v>43</v>
      </c>
      <c r="Q54" s="6" t="s">
        <v>7</v>
      </c>
      <c r="R54" s="6" t="s">
        <v>8</v>
      </c>
      <c r="S54" s="6" t="s">
        <v>9</v>
      </c>
      <c r="T54" s="6" t="s">
        <v>10</v>
      </c>
      <c r="U54" s="6" t="s">
        <v>11</v>
      </c>
      <c r="V54" s="4" t="s">
        <v>19</v>
      </c>
      <c r="W54" s="2" t="s">
        <v>12</v>
      </c>
      <c r="X54" s="4" t="s">
        <v>13</v>
      </c>
      <c r="Y54" s="4" t="s">
        <v>25</v>
      </c>
      <c r="Z54" s="4" t="s">
        <v>14</v>
      </c>
      <c r="AA54" s="4" t="s">
        <v>17</v>
      </c>
      <c r="AB54" s="4" t="s">
        <v>15</v>
      </c>
      <c r="AC54" s="4" t="s">
        <v>16</v>
      </c>
    </row>
    <row r="55" spans="1:29" x14ac:dyDescent="0.2">
      <c r="A55" s="4" t="s">
        <v>113</v>
      </c>
      <c r="B55" s="22">
        <f>Q55/1024</f>
        <v>73.296222953867854</v>
      </c>
      <c r="C55" s="22">
        <f t="shared" ref="C55:C66" si="45">R55/1024</f>
        <v>8.2595489097511727</v>
      </c>
      <c r="D55" s="22">
        <f t="shared" ref="D55:D66" si="46">S55/1024</f>
        <v>9.3310018135989559</v>
      </c>
      <c r="E55" s="22">
        <f t="shared" ref="E55:E66" si="47">T55/1024</f>
        <v>244.36677793993653</v>
      </c>
      <c r="F55" s="22">
        <f t="shared" ref="F55:F66" si="48">U55/1024</f>
        <v>1.7278942817247265</v>
      </c>
      <c r="G55" s="22">
        <f t="shared" ref="G55:G66" si="49">V55/1024</f>
        <v>137.09790213443142</v>
      </c>
      <c r="H55" s="22">
        <f t="shared" ref="H55:H66" si="50">W55/1024</f>
        <v>237.96900171217774</v>
      </c>
      <c r="I55" s="22">
        <f t="shared" ref="I55:I66" si="51">X55/1024</f>
        <v>19.99159190197669</v>
      </c>
      <c r="J55" s="22">
        <f t="shared" ref="J55:J66" si="52">Y55/1024</f>
        <v>122.93161356998633</v>
      </c>
      <c r="K55" s="22">
        <f t="shared" ref="K55:K66" si="53">Z55/1024</f>
        <v>2.5674646883681054</v>
      </c>
      <c r="L55" s="22">
        <f t="shared" ref="L55:L66" si="54">AA55/1024</f>
        <v>36.490641229098337</v>
      </c>
      <c r="M55" s="22">
        <f t="shared" ref="M55:M66" si="55">AB55/1024</f>
        <v>0.12909247365223536</v>
      </c>
      <c r="N55" s="22">
        <f t="shared" ref="N55:N67" si="56">SUM(B55:M55)</f>
        <v>894.15875360857001</v>
      </c>
      <c r="P55" s="4" t="s">
        <v>113</v>
      </c>
      <c r="Q55" s="7">
        <v>75055.332304760683</v>
      </c>
      <c r="R55" s="7">
        <v>8457.7780835852009</v>
      </c>
      <c r="S55" s="7">
        <v>9554.9458571253308</v>
      </c>
      <c r="T55" s="7">
        <v>250231.580610495</v>
      </c>
      <c r="U55" s="7">
        <v>1769.3637444861199</v>
      </c>
      <c r="V55" s="7">
        <v>140388.25178565778</v>
      </c>
      <c r="W55" s="7">
        <v>243680.25775327001</v>
      </c>
      <c r="X55" s="7">
        <v>20471.390107624131</v>
      </c>
      <c r="Y55" s="7">
        <v>125881.972295666</v>
      </c>
      <c r="Z55" s="7">
        <v>2629.0838408889399</v>
      </c>
      <c r="AA55" s="7">
        <v>37366.416618596697</v>
      </c>
      <c r="AB55" s="7">
        <v>132.19069301988901</v>
      </c>
      <c r="AC55" s="7">
        <f t="shared" ref="AC55:AC66" si="57">SUM(Q55:AB55)</f>
        <v>915618.56369517569</v>
      </c>
    </row>
    <row r="56" spans="1:29" x14ac:dyDescent="0.2">
      <c r="A56" s="4" t="s">
        <v>114</v>
      </c>
      <c r="B56" s="22">
        <f t="shared" ref="B56:B66" si="58">Q56/1024</f>
        <v>176.47863857785586</v>
      </c>
      <c r="C56" s="22">
        <f t="shared" si="45"/>
        <v>15.580833153538086</v>
      </c>
      <c r="D56" s="22">
        <f t="shared" si="46"/>
        <v>11.981964200251172</v>
      </c>
      <c r="E56" s="22">
        <f t="shared" si="47"/>
        <v>229.30431380832519</v>
      </c>
      <c r="F56" s="22">
        <f t="shared" si="48"/>
        <v>0.5525453382597334</v>
      </c>
      <c r="G56" s="22">
        <f t="shared" si="49"/>
        <v>200.97645672751324</v>
      </c>
      <c r="H56" s="22">
        <f t="shared" si="50"/>
        <v>290.52121634849607</v>
      </c>
      <c r="I56" s="22">
        <f t="shared" si="51"/>
        <v>19.562053377374422</v>
      </c>
      <c r="J56" s="22">
        <f t="shared" si="52"/>
        <v>114.75888369268652</v>
      </c>
      <c r="K56" s="22">
        <f t="shared" si="53"/>
        <v>3.2947848043218748</v>
      </c>
      <c r="L56" s="22">
        <f t="shared" si="54"/>
        <v>55.948774034600291</v>
      </c>
      <c r="M56" s="22">
        <f t="shared" si="55"/>
        <v>0.13905029915986231</v>
      </c>
      <c r="N56" s="22">
        <f t="shared" si="56"/>
        <v>1119.0995143623823</v>
      </c>
      <c r="P56" s="4" t="s">
        <v>114</v>
      </c>
      <c r="Q56" s="7">
        <v>180714.1259037244</v>
      </c>
      <c r="R56" s="7">
        <v>15954.773149223</v>
      </c>
      <c r="S56" s="7">
        <v>12269.5313410572</v>
      </c>
      <c r="T56" s="7">
        <v>234807.61733972499</v>
      </c>
      <c r="U56" s="7">
        <v>565.806426377967</v>
      </c>
      <c r="V56" s="7">
        <v>205799.89168897356</v>
      </c>
      <c r="W56" s="7">
        <v>297493.72554085997</v>
      </c>
      <c r="X56" s="7">
        <v>20031.542658431408</v>
      </c>
      <c r="Y56" s="7">
        <v>117513.096901311</v>
      </c>
      <c r="Z56" s="7">
        <v>3373.8596396255998</v>
      </c>
      <c r="AA56" s="7">
        <v>57291.544611430698</v>
      </c>
      <c r="AB56" s="7">
        <v>142.387506339699</v>
      </c>
      <c r="AC56" s="7">
        <f t="shared" si="57"/>
        <v>1145957.9027070794</v>
      </c>
    </row>
    <row r="57" spans="1:29" x14ac:dyDescent="0.2">
      <c r="A57" s="4" t="s">
        <v>115</v>
      </c>
      <c r="B57" s="22">
        <f t="shared" si="58"/>
        <v>54.662445997302527</v>
      </c>
      <c r="C57" s="22">
        <f t="shared" si="45"/>
        <v>24.440314925866893</v>
      </c>
      <c r="D57" s="22">
        <f t="shared" si="46"/>
        <v>10.092599174010449</v>
      </c>
      <c r="E57" s="22">
        <f t="shared" si="47"/>
        <v>291.60346559407225</v>
      </c>
      <c r="F57" s="22">
        <f t="shared" si="48"/>
        <v>1.0067045006553517</v>
      </c>
      <c r="G57" s="22">
        <f t="shared" si="49"/>
        <v>158.99128871605424</v>
      </c>
      <c r="H57" s="22">
        <f t="shared" si="50"/>
        <v>324.51063495947068</v>
      </c>
      <c r="I57" s="22">
        <f t="shared" si="51"/>
        <v>18.566973599845344</v>
      </c>
      <c r="J57" s="22">
        <f t="shared" si="52"/>
        <v>141.64171235072754</v>
      </c>
      <c r="K57" s="22">
        <f t="shared" si="53"/>
        <v>11.225817928570509</v>
      </c>
      <c r="L57" s="22">
        <f t="shared" si="54"/>
        <v>38.743934343889066</v>
      </c>
      <c r="M57" s="22">
        <f t="shared" si="55"/>
        <v>0.10756392037001172</v>
      </c>
      <c r="N57" s="22">
        <f t="shared" si="56"/>
        <v>1075.5934560108349</v>
      </c>
      <c r="P57" s="4" t="s">
        <v>115</v>
      </c>
      <c r="Q57" s="7">
        <v>55974.344701237787</v>
      </c>
      <c r="R57" s="7">
        <v>25026.882484087699</v>
      </c>
      <c r="S57" s="7">
        <v>10334.821554186699</v>
      </c>
      <c r="T57" s="7">
        <v>298601.94876832998</v>
      </c>
      <c r="U57" s="7">
        <v>1030.8654086710801</v>
      </c>
      <c r="V57" s="7">
        <v>162807.07964523954</v>
      </c>
      <c r="W57" s="7">
        <v>332298.89019849797</v>
      </c>
      <c r="X57" s="7">
        <v>19012.580966241632</v>
      </c>
      <c r="Y57" s="7">
        <v>145041.11344714501</v>
      </c>
      <c r="Z57" s="7">
        <v>11495.237558856201</v>
      </c>
      <c r="AA57" s="7">
        <v>39673.788768142404</v>
      </c>
      <c r="AB57" s="7">
        <v>110.145454458892</v>
      </c>
      <c r="AC57" s="7">
        <f t="shared" si="57"/>
        <v>1101407.6989550949</v>
      </c>
    </row>
    <row r="58" spans="1:29" x14ac:dyDescent="0.2">
      <c r="A58" s="4" t="s">
        <v>103</v>
      </c>
      <c r="B58" s="22">
        <f t="shared" si="58"/>
        <v>89.858369145135541</v>
      </c>
      <c r="C58" s="22">
        <f t="shared" si="45"/>
        <v>28.561265293077636</v>
      </c>
      <c r="D58" s="22">
        <f t="shared" si="46"/>
        <v>13.11705835586416</v>
      </c>
      <c r="E58" s="22">
        <f t="shared" si="47"/>
        <v>301.00556557684081</v>
      </c>
      <c r="F58" s="22">
        <f t="shared" si="48"/>
        <v>0.42634712659855661</v>
      </c>
      <c r="G58" s="22">
        <f t="shared" si="49"/>
        <v>153.72902914974824</v>
      </c>
      <c r="H58" s="22">
        <f t="shared" si="50"/>
        <v>388.20309885217483</v>
      </c>
      <c r="I58" s="22">
        <f t="shared" si="51"/>
        <v>15.39599460454153</v>
      </c>
      <c r="J58" s="22">
        <f t="shared" si="52"/>
        <v>68.90424803418496</v>
      </c>
      <c r="K58" s="22">
        <f t="shared" si="53"/>
        <v>7.3950300048680075</v>
      </c>
      <c r="L58" s="22">
        <f t="shared" si="54"/>
        <v>36.410464834048923</v>
      </c>
      <c r="M58" s="22">
        <f t="shared" si="55"/>
        <v>0.17436499643645215</v>
      </c>
      <c r="N58" s="22">
        <f t="shared" si="56"/>
        <v>1103.1808359735198</v>
      </c>
      <c r="P58" s="4" t="s">
        <v>103</v>
      </c>
      <c r="Q58" s="7">
        <v>92014.970004618794</v>
      </c>
      <c r="R58" s="7">
        <v>29246.735660111499</v>
      </c>
      <c r="S58" s="7">
        <v>13431.867756404899</v>
      </c>
      <c r="T58" s="7">
        <v>308229.69915068499</v>
      </c>
      <c r="U58" s="7">
        <v>436.57945763692197</v>
      </c>
      <c r="V58" s="7">
        <v>157418.5258493422</v>
      </c>
      <c r="W58" s="7">
        <v>397519.97322462703</v>
      </c>
      <c r="X58" s="7">
        <v>15765.498475050526</v>
      </c>
      <c r="Y58" s="7">
        <v>70557.949987005399</v>
      </c>
      <c r="Z58" s="7">
        <v>7572.5107249848397</v>
      </c>
      <c r="AA58" s="7">
        <v>37284.315990066098</v>
      </c>
      <c r="AB58" s="7">
        <v>178.549756350927</v>
      </c>
      <c r="AC58" s="7">
        <f t="shared" si="57"/>
        <v>1129657.1760368843</v>
      </c>
    </row>
    <row r="59" spans="1:29" x14ac:dyDescent="0.2">
      <c r="A59" s="4" t="s">
        <v>104</v>
      </c>
      <c r="B59" s="22">
        <f t="shared" si="58"/>
        <v>92.183586922790525</v>
      </c>
      <c r="C59" s="22">
        <f t="shared" si="45"/>
        <v>64.910383633495215</v>
      </c>
      <c r="D59" s="22">
        <f t="shared" si="46"/>
        <v>9.7138510099985051</v>
      </c>
      <c r="E59" s="22">
        <f t="shared" si="47"/>
        <v>344.8688968277383</v>
      </c>
      <c r="F59" s="22">
        <f t="shared" si="48"/>
        <v>0.29496426831155959</v>
      </c>
      <c r="G59" s="22">
        <f t="shared" si="49"/>
        <v>165.45468605888738</v>
      </c>
      <c r="H59" s="22">
        <f t="shared" si="50"/>
        <v>210.93027875221679</v>
      </c>
      <c r="I59" s="22">
        <f t="shared" si="51"/>
        <v>23.269233577699179</v>
      </c>
      <c r="J59" s="22">
        <f t="shared" si="52"/>
        <v>85.984962730031839</v>
      </c>
      <c r="K59" s="22">
        <f t="shared" si="53"/>
        <v>5.3401340507446973</v>
      </c>
      <c r="L59" s="22">
        <f t="shared" si="54"/>
        <v>47.181276652401657</v>
      </c>
      <c r="M59" s="22">
        <f t="shared" si="55"/>
        <v>0.2595661605255371</v>
      </c>
      <c r="N59" s="22">
        <f t="shared" si="56"/>
        <v>1050.3918206448411</v>
      </c>
      <c r="P59" s="4" t="s">
        <v>104</v>
      </c>
      <c r="Q59" s="7">
        <v>94395.993008937498</v>
      </c>
      <c r="R59" s="7">
        <v>66468.2328406991</v>
      </c>
      <c r="S59" s="7">
        <v>9946.9834342384693</v>
      </c>
      <c r="T59" s="7">
        <v>353145.75035160402</v>
      </c>
      <c r="U59" s="7">
        <v>302.04341075103702</v>
      </c>
      <c r="V59" s="7">
        <v>169425.59852430067</v>
      </c>
      <c r="W59" s="7">
        <v>215992.60544227</v>
      </c>
      <c r="X59" s="7">
        <v>23827.695183563959</v>
      </c>
      <c r="Y59" s="7">
        <v>88048.601835552603</v>
      </c>
      <c r="Z59" s="7">
        <v>5468.29726796257</v>
      </c>
      <c r="AA59" s="7">
        <v>48313.627292059296</v>
      </c>
      <c r="AB59" s="7">
        <v>265.79574837814999</v>
      </c>
      <c r="AC59" s="7">
        <f t="shared" si="57"/>
        <v>1075601.2243403173</v>
      </c>
    </row>
    <row r="60" spans="1:29" x14ac:dyDescent="0.2">
      <c r="A60" s="4" t="s">
        <v>105</v>
      </c>
      <c r="B60" s="22">
        <f t="shared" si="58"/>
        <v>109.36959866886974</v>
      </c>
      <c r="C60" s="22">
        <f t="shared" si="45"/>
        <v>68.612057040449116</v>
      </c>
      <c r="D60" s="22">
        <f t="shared" si="46"/>
        <v>12.023290638168847</v>
      </c>
      <c r="E60" s="22">
        <f t="shared" si="47"/>
        <v>273.61627668361717</v>
      </c>
      <c r="F60" s="22">
        <f t="shared" si="48"/>
        <v>0.18877215407246681</v>
      </c>
      <c r="G60" s="22">
        <f t="shared" si="49"/>
        <v>174.42703179957084</v>
      </c>
      <c r="H60" s="22">
        <f t="shared" si="50"/>
        <v>263.32696490342187</v>
      </c>
      <c r="I60" s="22">
        <f t="shared" si="51"/>
        <v>20.250050085738547</v>
      </c>
      <c r="J60" s="22">
        <f t="shared" si="52"/>
        <v>92.027294261110839</v>
      </c>
      <c r="K60" s="22">
        <f t="shared" si="53"/>
        <v>4.552789466385879</v>
      </c>
      <c r="L60" s="22">
        <f t="shared" si="54"/>
        <v>40.613671901494826</v>
      </c>
      <c r="M60" s="22">
        <f t="shared" si="55"/>
        <v>0.30356705791746191</v>
      </c>
      <c r="N60" s="22">
        <f t="shared" si="56"/>
        <v>1059.3113646608174</v>
      </c>
      <c r="P60" s="4" t="s">
        <v>105</v>
      </c>
      <c r="Q60" s="7">
        <v>111994.46903692262</v>
      </c>
      <c r="R60" s="7">
        <v>70258.746409419895</v>
      </c>
      <c r="S60" s="7">
        <v>12311.849613484899</v>
      </c>
      <c r="T60" s="7">
        <v>280183.06732402398</v>
      </c>
      <c r="U60" s="7">
        <v>193.30268577020601</v>
      </c>
      <c r="V60" s="7">
        <v>178613.28056276054</v>
      </c>
      <c r="W60" s="7">
        <v>269646.81206110399</v>
      </c>
      <c r="X60" s="7">
        <v>20736.051287796272</v>
      </c>
      <c r="Y60" s="7">
        <v>94235.949323377499</v>
      </c>
      <c r="Z60" s="7">
        <v>4662.0564135791401</v>
      </c>
      <c r="AA60" s="7">
        <v>41588.400027130701</v>
      </c>
      <c r="AB60" s="7">
        <v>310.852667307481</v>
      </c>
      <c r="AC60" s="7">
        <f t="shared" si="57"/>
        <v>1084734.837412677</v>
      </c>
    </row>
    <row r="61" spans="1:29" x14ac:dyDescent="0.2">
      <c r="A61" s="4" t="s">
        <v>106</v>
      </c>
      <c r="B61" s="22">
        <f t="shared" si="58"/>
        <v>98.290839775678904</v>
      </c>
      <c r="C61" s="22">
        <f t="shared" si="45"/>
        <v>60.39145074646963</v>
      </c>
      <c r="D61" s="22">
        <f t="shared" si="46"/>
        <v>11.801585663290039</v>
      </c>
      <c r="E61" s="22">
        <f t="shared" si="47"/>
        <v>344.21414739446681</v>
      </c>
      <c r="F61" s="22">
        <f t="shared" si="48"/>
        <v>0.59486142304922363</v>
      </c>
      <c r="G61" s="22">
        <f t="shared" si="49"/>
        <v>283.39953924613309</v>
      </c>
      <c r="H61" s="22">
        <f t="shared" si="50"/>
        <v>198.30148740329784</v>
      </c>
      <c r="I61" s="22">
        <f t="shared" si="51"/>
        <v>12.480405117126713</v>
      </c>
      <c r="J61" s="22">
        <f t="shared" si="52"/>
        <v>102.2356065263711</v>
      </c>
      <c r="K61" s="22">
        <f t="shared" si="53"/>
        <v>4.2411165669801658</v>
      </c>
      <c r="L61" s="22">
        <f t="shared" si="54"/>
        <v>36.137586800516111</v>
      </c>
      <c r="M61" s="22">
        <f t="shared" si="55"/>
        <v>0.2548242196053252</v>
      </c>
      <c r="N61" s="22">
        <f t="shared" si="56"/>
        <v>1152.3434508829848</v>
      </c>
      <c r="P61" s="4" t="s">
        <v>106</v>
      </c>
      <c r="Q61" s="7">
        <v>100649.8199302952</v>
      </c>
      <c r="R61" s="7">
        <v>61840.845564384901</v>
      </c>
      <c r="S61" s="7">
        <v>12084.823719209</v>
      </c>
      <c r="T61" s="7">
        <v>352475.28693193401</v>
      </c>
      <c r="U61" s="7">
        <v>609.13809720240499</v>
      </c>
      <c r="V61" s="7">
        <v>290201.12818804028</v>
      </c>
      <c r="W61" s="7">
        <v>203060.72310097699</v>
      </c>
      <c r="X61" s="7">
        <v>12779.934839937754</v>
      </c>
      <c r="Y61" s="7">
        <v>104689.26108300401</v>
      </c>
      <c r="Z61" s="7">
        <v>4342.9033645876898</v>
      </c>
      <c r="AA61" s="7">
        <v>37004.888883728498</v>
      </c>
      <c r="AB61" s="7">
        <v>260.940000875853</v>
      </c>
      <c r="AC61" s="7">
        <f t="shared" si="57"/>
        <v>1179999.6937041765</v>
      </c>
    </row>
    <row r="62" spans="1:29" x14ac:dyDescent="0.2">
      <c r="A62" s="4" t="s">
        <v>107</v>
      </c>
      <c r="B62" s="22">
        <f t="shared" si="58"/>
        <v>80.042440016597268</v>
      </c>
      <c r="C62" s="22">
        <f t="shared" si="45"/>
        <v>106.45621075753711</v>
      </c>
      <c r="D62" s="22">
        <f t="shared" si="46"/>
        <v>18.350248867582128</v>
      </c>
      <c r="E62" s="22">
        <f t="shared" si="47"/>
        <v>396.15914843186232</v>
      </c>
      <c r="F62" s="22">
        <f t="shared" si="48"/>
        <v>0.33456258799469629</v>
      </c>
      <c r="G62" s="22">
        <f t="shared" si="49"/>
        <v>205.96896176551348</v>
      </c>
      <c r="H62" s="22">
        <f t="shared" si="50"/>
        <v>191.62150289047267</v>
      </c>
      <c r="I62" s="22">
        <f t="shared" si="51"/>
        <v>18.259784280003231</v>
      </c>
      <c r="J62" s="22">
        <f t="shared" si="52"/>
        <v>76.54864116595391</v>
      </c>
      <c r="K62" s="22">
        <f t="shared" si="53"/>
        <v>2.580329472215205</v>
      </c>
      <c r="L62" s="22">
        <f t="shared" si="54"/>
        <v>41.678391660788279</v>
      </c>
      <c r="M62" s="22">
        <f t="shared" si="55"/>
        <v>0.20018181701925586</v>
      </c>
      <c r="N62" s="22">
        <f t="shared" si="56"/>
        <v>1138.2004037135396</v>
      </c>
      <c r="P62" s="4" t="s">
        <v>107</v>
      </c>
      <c r="Q62" s="7">
        <v>81963.458576995603</v>
      </c>
      <c r="R62" s="7">
        <v>109011.159815718</v>
      </c>
      <c r="S62" s="7">
        <v>18790.654840404099</v>
      </c>
      <c r="T62" s="7">
        <v>405666.96799422702</v>
      </c>
      <c r="U62" s="7">
        <v>342.592090106569</v>
      </c>
      <c r="V62" s="7">
        <v>210912.21684788581</v>
      </c>
      <c r="W62" s="7">
        <v>196220.41895984401</v>
      </c>
      <c r="X62" s="7">
        <v>18698.019102723309</v>
      </c>
      <c r="Y62" s="7">
        <v>78385.808553936804</v>
      </c>
      <c r="Z62" s="7">
        <v>2642.25737954837</v>
      </c>
      <c r="AA62" s="7">
        <v>42678.673060647197</v>
      </c>
      <c r="AB62" s="7">
        <v>204.986180627718</v>
      </c>
      <c r="AC62" s="7">
        <f t="shared" si="57"/>
        <v>1165517.2134026645</v>
      </c>
    </row>
    <row r="63" spans="1:29" x14ac:dyDescent="0.2">
      <c r="A63" s="4" t="s">
        <v>108</v>
      </c>
      <c r="B63" s="22">
        <f t="shared" si="58"/>
        <v>119.89875867422852</v>
      </c>
      <c r="C63" s="22">
        <f t="shared" si="45"/>
        <v>45.92741980626846</v>
      </c>
      <c r="D63" s="22">
        <f t="shared" si="46"/>
        <v>10.922251759577149</v>
      </c>
      <c r="E63" s="22">
        <f t="shared" si="47"/>
        <v>402.07492425331839</v>
      </c>
      <c r="F63" s="22">
        <f t="shared" si="48"/>
        <v>0.74622698599432613</v>
      </c>
      <c r="G63" s="22">
        <f t="shared" si="49"/>
        <v>355.86807066117194</v>
      </c>
      <c r="H63" s="22">
        <f t="shared" si="50"/>
        <v>184.15384592346192</v>
      </c>
      <c r="I63" s="22">
        <f t="shared" si="51"/>
        <v>29.960002944750979</v>
      </c>
      <c r="J63" s="22">
        <f t="shared" si="52"/>
        <v>109.38614119619336</v>
      </c>
      <c r="K63" s="22">
        <f t="shared" si="53"/>
        <v>6.8577512158466307</v>
      </c>
      <c r="L63" s="22">
        <f t="shared" si="54"/>
        <v>39.32945112882129</v>
      </c>
      <c r="M63" s="22">
        <f t="shared" si="55"/>
        <v>0.25122360338809768</v>
      </c>
      <c r="N63" s="22">
        <f t="shared" si="56"/>
        <v>1305.3760681530212</v>
      </c>
      <c r="P63" s="4" t="s">
        <v>108</v>
      </c>
      <c r="Q63" s="7">
        <v>122776.32888241</v>
      </c>
      <c r="R63" s="7">
        <v>47029.677881618903</v>
      </c>
      <c r="S63" s="7">
        <v>11184.385801807</v>
      </c>
      <c r="T63" s="7">
        <v>411724.72243539803</v>
      </c>
      <c r="U63" s="7">
        <v>764.13643365818996</v>
      </c>
      <c r="V63" s="7">
        <v>364408.90435704007</v>
      </c>
      <c r="W63" s="7">
        <v>188573.538225625</v>
      </c>
      <c r="X63" s="7">
        <v>30679.043015425003</v>
      </c>
      <c r="Y63" s="7">
        <v>112011.408584902</v>
      </c>
      <c r="Z63" s="7">
        <v>7022.3372450269499</v>
      </c>
      <c r="AA63" s="7">
        <v>40273.357955913001</v>
      </c>
      <c r="AB63" s="7">
        <v>257.25296986941203</v>
      </c>
      <c r="AC63" s="7">
        <f t="shared" si="57"/>
        <v>1336705.0937886937</v>
      </c>
    </row>
    <row r="64" spans="1:29" x14ac:dyDescent="0.2">
      <c r="A64" s="4" t="s">
        <v>109</v>
      </c>
      <c r="B64" s="22">
        <f t="shared" si="58"/>
        <v>186.44211537791836</v>
      </c>
      <c r="C64" s="22">
        <f t="shared" si="45"/>
        <v>70.261624210404975</v>
      </c>
      <c r="D64" s="22">
        <f t="shared" si="46"/>
        <v>11.382697851024121</v>
      </c>
      <c r="E64" s="22">
        <f t="shared" si="47"/>
        <v>400.09047755838867</v>
      </c>
      <c r="F64" s="22">
        <f t="shared" si="48"/>
        <v>1.1236373134215625</v>
      </c>
      <c r="G64" s="22">
        <f t="shared" si="49"/>
        <v>234.32938122213827</v>
      </c>
      <c r="H64" s="22">
        <f t="shared" si="50"/>
        <v>213.13816965057421</v>
      </c>
      <c r="I64" s="22">
        <f t="shared" si="51"/>
        <v>30.02080387515516</v>
      </c>
      <c r="J64" s="22">
        <f t="shared" si="52"/>
        <v>208.00494837090528</v>
      </c>
      <c r="K64" s="22">
        <f t="shared" si="53"/>
        <v>13.017739487368946</v>
      </c>
      <c r="L64" s="22">
        <f t="shared" si="54"/>
        <v>46.324302022474512</v>
      </c>
      <c r="M64" s="22">
        <f t="shared" si="55"/>
        <v>0.32695141043586717</v>
      </c>
      <c r="N64" s="22">
        <f t="shared" si="56"/>
        <v>1414.4628483502102</v>
      </c>
      <c r="P64" s="4" t="s">
        <v>109</v>
      </c>
      <c r="Q64" s="7">
        <v>190916.7261469884</v>
      </c>
      <c r="R64" s="7">
        <v>71947.903191454694</v>
      </c>
      <c r="S64" s="7">
        <v>11655.8825994487</v>
      </c>
      <c r="T64" s="7">
        <v>409692.64901979</v>
      </c>
      <c r="U64" s="7">
        <v>1150.60460894368</v>
      </c>
      <c r="V64" s="7">
        <v>239953.28637146958</v>
      </c>
      <c r="W64" s="7">
        <v>218253.48572218799</v>
      </c>
      <c r="X64" s="7">
        <v>30741.303168158884</v>
      </c>
      <c r="Y64" s="7">
        <v>212997.06713180701</v>
      </c>
      <c r="Z64" s="7">
        <v>13330.165235065801</v>
      </c>
      <c r="AA64" s="7">
        <v>47436.085271013901</v>
      </c>
      <c r="AB64" s="7">
        <v>334.79824428632799</v>
      </c>
      <c r="AC64" s="7">
        <f t="shared" si="57"/>
        <v>1448409.9567106152</v>
      </c>
    </row>
    <row r="65" spans="1:29" x14ac:dyDescent="0.2">
      <c r="A65" s="4" t="s">
        <v>110</v>
      </c>
      <c r="B65" s="22">
        <f t="shared" si="58"/>
        <v>119.7267050979288</v>
      </c>
      <c r="C65" s="22">
        <f t="shared" si="45"/>
        <v>48.76586853730889</v>
      </c>
      <c r="D65" s="22">
        <f t="shared" si="46"/>
        <v>11.691795430726367</v>
      </c>
      <c r="E65" s="22">
        <f t="shared" si="47"/>
        <v>384.58226486899315</v>
      </c>
      <c r="F65" s="22">
        <f t="shared" si="48"/>
        <v>0.3443844645989883</v>
      </c>
      <c r="G65" s="22">
        <f t="shared" si="49"/>
        <v>178.99475140582797</v>
      </c>
      <c r="H65" s="22">
        <f t="shared" si="50"/>
        <v>259.44089709227637</v>
      </c>
      <c r="I65" s="22">
        <f t="shared" si="51"/>
        <v>31.317885228455406</v>
      </c>
      <c r="J65" s="22">
        <f t="shared" si="52"/>
        <v>161.35362519790431</v>
      </c>
      <c r="K65" s="22">
        <f t="shared" si="53"/>
        <v>7.3681364266485154</v>
      </c>
      <c r="L65" s="22">
        <f t="shared" si="54"/>
        <v>35.643537014339842</v>
      </c>
      <c r="M65" s="22">
        <f t="shared" si="55"/>
        <v>0.3531762132206494</v>
      </c>
      <c r="N65" s="22">
        <f t="shared" si="56"/>
        <v>1239.5830269782296</v>
      </c>
      <c r="P65" s="4" t="s">
        <v>110</v>
      </c>
      <c r="Q65" s="7">
        <v>122600.14602027909</v>
      </c>
      <c r="R65" s="7">
        <v>49936.249382204303</v>
      </c>
      <c r="S65" s="7">
        <v>11972.3985210638</v>
      </c>
      <c r="T65" s="7">
        <v>393812.23922584899</v>
      </c>
      <c r="U65" s="7">
        <v>352.64969174936402</v>
      </c>
      <c r="V65" s="7">
        <v>183290.62543956784</v>
      </c>
      <c r="W65" s="7">
        <v>265667.47862249101</v>
      </c>
      <c r="X65" s="7">
        <v>32069.514473938336</v>
      </c>
      <c r="Y65" s="7">
        <v>165226.11220265401</v>
      </c>
      <c r="Z65" s="7">
        <v>7544.9717008880798</v>
      </c>
      <c r="AA65" s="7">
        <v>36498.981902683998</v>
      </c>
      <c r="AB65" s="7">
        <v>361.65244233794499</v>
      </c>
      <c r="AC65" s="7">
        <f t="shared" si="57"/>
        <v>1269333.0196257071</v>
      </c>
    </row>
    <row r="66" spans="1:29" x14ac:dyDescent="0.2">
      <c r="A66" s="4" t="s">
        <v>111</v>
      </c>
      <c r="B66" s="22">
        <f t="shared" si="58"/>
        <v>114.92851393009707</v>
      </c>
      <c r="C66" s="22">
        <f t="shared" si="45"/>
        <v>83.771306867974019</v>
      </c>
      <c r="D66" s="22">
        <f t="shared" si="46"/>
        <v>12.612493587134766</v>
      </c>
      <c r="E66" s="22">
        <f t="shared" si="47"/>
        <v>447.08057833272659</v>
      </c>
      <c r="F66" s="22">
        <f t="shared" si="48"/>
        <v>1.5034160900158886</v>
      </c>
      <c r="G66" s="22">
        <f t="shared" si="49"/>
        <v>251.78879741096245</v>
      </c>
      <c r="H66" s="22">
        <f t="shared" si="50"/>
        <v>173.42348872874121</v>
      </c>
      <c r="I66" s="22">
        <f t="shared" si="51"/>
        <v>23.909879155449673</v>
      </c>
      <c r="J66" s="22">
        <f t="shared" si="52"/>
        <v>195.7249858896748</v>
      </c>
      <c r="K66" s="22">
        <f t="shared" si="53"/>
        <v>3.2129565338099804</v>
      </c>
      <c r="L66" s="22">
        <f t="shared" si="54"/>
        <v>26.778209110008888</v>
      </c>
      <c r="M66" s="22">
        <f t="shared" si="55"/>
        <v>0.38578447705185642</v>
      </c>
      <c r="N66" s="22">
        <f t="shared" si="56"/>
        <v>1335.1204101136473</v>
      </c>
      <c r="P66" s="4" t="s">
        <v>111</v>
      </c>
      <c r="Q66" s="7">
        <v>117686.7982644194</v>
      </c>
      <c r="R66" s="7">
        <v>85781.818232805395</v>
      </c>
      <c r="S66" s="7">
        <v>12915.193433226001</v>
      </c>
      <c r="T66" s="7">
        <v>457810.51221271203</v>
      </c>
      <c r="U66" s="7">
        <v>1539.4980761762699</v>
      </c>
      <c r="V66" s="7">
        <v>257831.72854882554</v>
      </c>
      <c r="W66" s="7">
        <v>177585.65245823099</v>
      </c>
      <c r="X66" s="7">
        <v>24483.716255180465</v>
      </c>
      <c r="Y66" s="7">
        <v>200422.38555102699</v>
      </c>
      <c r="Z66" s="7">
        <v>3290.0674906214199</v>
      </c>
      <c r="AA66" s="7">
        <v>27420.886128649101</v>
      </c>
      <c r="AB66" s="7">
        <v>395.04330450110098</v>
      </c>
      <c r="AC66" s="7">
        <f t="shared" si="57"/>
        <v>1367163.2999563748</v>
      </c>
    </row>
    <row r="67" spans="1:29" x14ac:dyDescent="0.2">
      <c r="A67" s="8" t="s">
        <v>20</v>
      </c>
      <c r="B67" s="22">
        <f>SUM(B55:B66)</f>
        <v>1315.178235138271</v>
      </c>
      <c r="C67" s="22">
        <f t="shared" ref="C67:M67" si="59">SUM(C55:C66)</f>
        <v>625.93828388214115</v>
      </c>
      <c r="D67" s="22">
        <f t="shared" si="59"/>
        <v>143.02083835122664</v>
      </c>
      <c r="E67" s="22">
        <f t="shared" si="59"/>
        <v>4058.9668372702859</v>
      </c>
      <c r="F67" s="22">
        <f t="shared" si="59"/>
        <v>8.8443165346970822</v>
      </c>
      <c r="G67" s="22">
        <f t="shared" si="59"/>
        <v>2501.0258962979528</v>
      </c>
      <c r="H67" s="22">
        <f t="shared" si="59"/>
        <v>2935.5405872167821</v>
      </c>
      <c r="I67" s="22">
        <f t="shared" si="59"/>
        <v>262.98465774811689</v>
      </c>
      <c r="J67" s="22">
        <f t="shared" si="59"/>
        <v>1479.5026629857307</v>
      </c>
      <c r="K67" s="22">
        <f t="shared" si="59"/>
        <v>71.654050646128539</v>
      </c>
      <c r="L67" s="22">
        <f t="shared" si="59"/>
        <v>481.28024073248207</v>
      </c>
      <c r="M67" s="22">
        <f t="shared" si="59"/>
        <v>2.8853466487826123</v>
      </c>
      <c r="N67" s="22">
        <f t="shared" si="56"/>
        <v>13886.821953452594</v>
      </c>
      <c r="P67" s="8" t="s">
        <v>20</v>
      </c>
      <c r="Q67" s="7">
        <f>SUM(Q55:Q66)</f>
        <v>1346742.5127815895</v>
      </c>
      <c r="R67" s="7">
        <f t="shared" ref="R67:AC67" si="60">SUM(R55:R66)</f>
        <v>640960.80269531254</v>
      </c>
      <c r="S67" s="7">
        <f t="shared" si="60"/>
        <v>146453.33847165608</v>
      </c>
      <c r="T67" s="7">
        <f t="shared" si="60"/>
        <v>4156382.0413647727</v>
      </c>
      <c r="U67" s="7">
        <f t="shared" si="60"/>
        <v>9056.5801315298122</v>
      </c>
      <c r="V67" s="7">
        <f t="shared" si="60"/>
        <v>2561050.5178091037</v>
      </c>
      <c r="W67" s="7">
        <f t="shared" si="60"/>
        <v>3005993.5613099849</v>
      </c>
      <c r="X67" s="7">
        <f t="shared" si="60"/>
        <v>269296.28953407169</v>
      </c>
      <c r="Y67" s="7">
        <f t="shared" si="60"/>
        <v>1515010.7268973882</v>
      </c>
      <c r="Z67" s="7">
        <f t="shared" si="60"/>
        <v>73373.747861635624</v>
      </c>
      <c r="AA67" s="7">
        <f t="shared" si="60"/>
        <v>492830.96651006164</v>
      </c>
      <c r="AB67" s="7">
        <f t="shared" si="60"/>
        <v>2954.594968353395</v>
      </c>
      <c r="AC67" s="7">
        <f t="shared" si="60"/>
        <v>14220105.680335462</v>
      </c>
    </row>
    <row r="68" spans="1:29" x14ac:dyDescent="0.2">
      <c r="A68" s="15" t="s">
        <v>38</v>
      </c>
      <c r="B68" s="23">
        <f>AVERAGE(B55:B66)</f>
        <v>109.59818626152259</v>
      </c>
      <c r="C68" s="23">
        <f t="shared" ref="C68:M68" si="61">AVERAGE(C55:C66)</f>
        <v>52.161523656845098</v>
      </c>
      <c r="D68" s="23">
        <f t="shared" si="61"/>
        <v>11.918403195935554</v>
      </c>
      <c r="E68" s="23">
        <f t="shared" si="61"/>
        <v>338.24723643919049</v>
      </c>
      <c r="F68" s="23">
        <f t="shared" si="61"/>
        <v>0.73702637789142356</v>
      </c>
      <c r="G68" s="23">
        <f t="shared" si="61"/>
        <v>208.41882469149607</v>
      </c>
      <c r="H68" s="23">
        <f t="shared" si="61"/>
        <v>244.62838226806517</v>
      </c>
      <c r="I68" s="23">
        <f t="shared" si="61"/>
        <v>21.915388145676406</v>
      </c>
      <c r="J68" s="23">
        <f t="shared" si="61"/>
        <v>123.29188858214422</v>
      </c>
      <c r="K68" s="23">
        <f t="shared" si="61"/>
        <v>5.9711708871773785</v>
      </c>
      <c r="L68" s="23">
        <f t="shared" si="61"/>
        <v>40.106686727706837</v>
      </c>
      <c r="M68" s="23">
        <f t="shared" si="61"/>
        <v>0.2404455540652177</v>
      </c>
    </row>
    <row r="69" spans="1:29" x14ac:dyDescent="0.2">
      <c r="A69" s="59" t="s">
        <v>129</v>
      </c>
      <c r="B69" s="23">
        <v>1142.3560986581349</v>
      </c>
      <c r="C69" s="23">
        <v>189.67558521090592</v>
      </c>
      <c r="D69" s="23">
        <v>93.666928523617443</v>
      </c>
      <c r="E69" s="23">
        <v>2071.4167294902027</v>
      </c>
      <c r="F69" s="23">
        <v>16.130874663122043</v>
      </c>
      <c r="G69" s="23">
        <v>1801.2341377453145</v>
      </c>
      <c r="H69" s="23">
        <v>3916.7340831344368</v>
      </c>
      <c r="I69" s="23">
        <v>201.59095327375263</v>
      </c>
      <c r="J69" s="23">
        <v>1191.0308301382825</v>
      </c>
      <c r="K69" s="23">
        <v>20.427300843186408</v>
      </c>
      <c r="L69" s="23">
        <v>300.98538081447828</v>
      </c>
      <c r="M69" s="23">
        <v>1.672547038133412</v>
      </c>
      <c r="N69" s="22">
        <f t="shared" ref="N69" si="62">SUM(B69:M69)</f>
        <v>10946.921449533569</v>
      </c>
    </row>
    <row r="71" spans="1:29" x14ac:dyDescent="0.2">
      <c r="B71" s="247" t="s">
        <v>39</v>
      </c>
      <c r="C71" s="248"/>
      <c r="D71" s="248"/>
      <c r="E71" s="248"/>
      <c r="F71" s="248"/>
      <c r="G71" s="248"/>
      <c r="H71" s="248"/>
      <c r="I71" s="248"/>
      <c r="J71" s="248"/>
      <c r="K71" s="248"/>
      <c r="L71" s="248"/>
      <c r="M71" s="248"/>
    </row>
    <row r="72" spans="1:29" x14ac:dyDescent="0.2">
      <c r="A72" s="15" t="s">
        <v>21</v>
      </c>
      <c r="B72" s="6" t="s">
        <v>7</v>
      </c>
      <c r="C72" s="6" t="s">
        <v>8</v>
      </c>
      <c r="D72" s="6" t="s">
        <v>9</v>
      </c>
      <c r="E72" s="6" t="s">
        <v>10</v>
      </c>
      <c r="F72" s="6" t="s">
        <v>11</v>
      </c>
      <c r="G72" s="4" t="s">
        <v>19</v>
      </c>
      <c r="H72" s="2" t="s">
        <v>12</v>
      </c>
      <c r="I72" s="4" t="s">
        <v>13</v>
      </c>
      <c r="J72" s="4" t="s">
        <v>25</v>
      </c>
      <c r="K72" s="4" t="s">
        <v>14</v>
      </c>
      <c r="L72" s="4" t="s">
        <v>17</v>
      </c>
      <c r="M72" s="4" t="s">
        <v>15</v>
      </c>
    </row>
    <row r="73" spans="1:29" x14ac:dyDescent="0.2">
      <c r="A73" s="16">
        <v>42278</v>
      </c>
      <c r="B73" s="17">
        <f>B55-B$68</f>
        <v>-36.301963307654731</v>
      </c>
      <c r="C73" s="17">
        <f t="shared" ref="C73:L73" si="63">C55-C$68</f>
        <v>-43.901974747093924</v>
      </c>
      <c r="D73" s="17">
        <f t="shared" si="63"/>
        <v>-2.5874013823365978</v>
      </c>
      <c r="E73" s="17">
        <f t="shared" si="63"/>
        <v>-93.880458499253962</v>
      </c>
      <c r="F73" s="17">
        <f t="shared" si="63"/>
        <v>0.99086790383330292</v>
      </c>
      <c r="G73" s="17">
        <f t="shared" si="63"/>
        <v>-71.320922557064648</v>
      </c>
      <c r="H73" s="17">
        <f t="shared" si="63"/>
        <v>-6.6593805558874237</v>
      </c>
      <c r="I73" s="17">
        <f t="shared" si="63"/>
        <v>-1.9237962436997158</v>
      </c>
      <c r="J73" s="17">
        <f t="shared" si="63"/>
        <v>-0.36027501215789925</v>
      </c>
      <c r="K73" s="17">
        <f t="shared" si="63"/>
        <v>-3.4037061988092732</v>
      </c>
      <c r="L73" s="17">
        <f t="shared" si="63"/>
        <v>-3.6160454986085</v>
      </c>
      <c r="M73" s="17">
        <f t="shared" ref="M73" si="64">M55-M$16</f>
        <v>-0.35319019301443133</v>
      </c>
      <c r="N73" s="18"/>
      <c r="O73" s="18"/>
    </row>
    <row r="74" spans="1:29" x14ac:dyDescent="0.2">
      <c r="A74" s="16">
        <v>42309</v>
      </c>
      <c r="B74" s="17">
        <f t="shared" ref="B74:L74" si="65">B56-B$68</f>
        <v>66.880452316333276</v>
      </c>
      <c r="C74" s="17">
        <f t="shared" si="65"/>
        <v>-36.580690503307011</v>
      </c>
      <c r="D74" s="17">
        <f t="shared" si="65"/>
        <v>6.3561004315618064E-2</v>
      </c>
      <c r="E74" s="17">
        <f t="shared" si="65"/>
        <v>-108.9429226308653</v>
      </c>
      <c r="F74" s="17">
        <f t="shared" si="65"/>
        <v>-0.18448103963169016</v>
      </c>
      <c r="G74" s="17">
        <f t="shared" si="65"/>
        <v>-7.4423679639828322</v>
      </c>
      <c r="H74" s="17">
        <f t="shared" si="65"/>
        <v>45.892834080430902</v>
      </c>
      <c r="I74" s="17">
        <f t="shared" si="65"/>
        <v>-2.3533347683019841</v>
      </c>
      <c r="J74" s="17">
        <f t="shared" si="65"/>
        <v>-8.5330048894577004</v>
      </c>
      <c r="K74" s="17">
        <f t="shared" si="65"/>
        <v>-2.6763860828555037</v>
      </c>
      <c r="L74" s="17">
        <f t="shared" si="65"/>
        <v>15.842087306893454</v>
      </c>
      <c r="M74" s="17">
        <f t="shared" ref="M74:M84" si="66">M56-M$16</f>
        <v>-0.34323236750680441</v>
      </c>
    </row>
    <row r="75" spans="1:29" x14ac:dyDescent="0.2">
      <c r="A75" s="16">
        <v>42339</v>
      </c>
      <c r="B75" s="17">
        <f t="shared" ref="B75:L75" si="67">B57-B$68</f>
        <v>-54.935740264220058</v>
      </c>
      <c r="C75" s="17">
        <f t="shared" si="67"/>
        <v>-27.721208730978205</v>
      </c>
      <c r="D75" s="17">
        <f t="shared" si="67"/>
        <v>-1.825804021925105</v>
      </c>
      <c r="E75" s="17">
        <f t="shared" si="67"/>
        <v>-46.64377084511824</v>
      </c>
      <c r="F75" s="17">
        <f t="shared" si="67"/>
        <v>0.26967812276392811</v>
      </c>
      <c r="G75" s="17">
        <f t="shared" si="67"/>
        <v>-49.427535975441828</v>
      </c>
      <c r="H75" s="17">
        <f t="shared" si="67"/>
        <v>79.882252691405512</v>
      </c>
      <c r="I75" s="17">
        <f t="shared" si="67"/>
        <v>-3.3484145458310621</v>
      </c>
      <c r="J75" s="17">
        <f t="shared" si="67"/>
        <v>18.34982376858332</v>
      </c>
      <c r="K75" s="17">
        <f t="shared" si="67"/>
        <v>5.2546470413931301</v>
      </c>
      <c r="L75" s="17">
        <f t="shared" si="67"/>
        <v>-1.3627523838177709</v>
      </c>
      <c r="M75" s="17">
        <f t="shared" si="66"/>
        <v>-0.37471874629665497</v>
      </c>
    </row>
    <row r="76" spans="1:29" x14ac:dyDescent="0.2">
      <c r="A76" s="16">
        <v>42370</v>
      </c>
      <c r="B76" s="17">
        <f t="shared" ref="B76:L76" si="68">B58-B$68</f>
        <v>-19.739817116387044</v>
      </c>
      <c r="C76" s="17">
        <f t="shared" si="68"/>
        <v>-23.600258363767463</v>
      </c>
      <c r="D76" s="17">
        <f t="shared" si="68"/>
        <v>1.1986551599286059</v>
      </c>
      <c r="E76" s="17">
        <f t="shared" si="68"/>
        <v>-37.241670862349679</v>
      </c>
      <c r="F76" s="17">
        <f t="shared" si="68"/>
        <v>-0.31067925129286694</v>
      </c>
      <c r="G76" s="17">
        <f t="shared" si="68"/>
        <v>-54.689795541747827</v>
      </c>
      <c r="H76" s="17">
        <f t="shared" si="68"/>
        <v>143.57471658410967</v>
      </c>
      <c r="I76" s="17">
        <f t="shared" si="68"/>
        <v>-6.5193935411348765</v>
      </c>
      <c r="J76" s="17">
        <f t="shared" si="68"/>
        <v>-54.387640547959265</v>
      </c>
      <c r="K76" s="17">
        <f t="shared" si="68"/>
        <v>1.423859117690629</v>
      </c>
      <c r="L76" s="17">
        <f t="shared" si="68"/>
        <v>-3.6962218936579134</v>
      </c>
      <c r="M76" s="17">
        <f t="shared" si="66"/>
        <v>-0.30791767023021455</v>
      </c>
    </row>
    <row r="77" spans="1:29" x14ac:dyDescent="0.2">
      <c r="A77" s="16">
        <v>42401</v>
      </c>
      <c r="B77" s="17">
        <f t="shared" ref="B77:L77" si="69">B59-B$68</f>
        <v>-17.41459933873206</v>
      </c>
      <c r="C77" s="17">
        <f t="shared" si="69"/>
        <v>12.748859976650117</v>
      </c>
      <c r="D77" s="17">
        <f t="shared" si="69"/>
        <v>-2.2045521859370485</v>
      </c>
      <c r="E77" s="17">
        <f t="shared" si="69"/>
        <v>6.6216603885478094</v>
      </c>
      <c r="F77" s="17">
        <f t="shared" si="69"/>
        <v>-0.44206210957986397</v>
      </c>
      <c r="G77" s="17">
        <f t="shared" si="69"/>
        <v>-42.964138632608694</v>
      </c>
      <c r="H77" s="17">
        <f t="shared" si="69"/>
        <v>-33.698103515848373</v>
      </c>
      <c r="I77" s="17">
        <f t="shared" si="69"/>
        <v>1.3538454320227729</v>
      </c>
      <c r="J77" s="17">
        <f t="shared" si="69"/>
        <v>-37.306925852112386</v>
      </c>
      <c r="K77" s="17">
        <f t="shared" si="69"/>
        <v>-0.63103683643268127</v>
      </c>
      <c r="L77" s="17">
        <f t="shared" si="69"/>
        <v>7.0745899246948198</v>
      </c>
      <c r="M77" s="17">
        <f t="shared" si="66"/>
        <v>-0.22271650614112959</v>
      </c>
    </row>
    <row r="78" spans="1:29" x14ac:dyDescent="0.2">
      <c r="A78" s="16">
        <v>42430</v>
      </c>
      <c r="B78" s="17">
        <f t="shared" ref="B78:L78" si="70">B60-B$68</f>
        <v>-0.22858759265284334</v>
      </c>
      <c r="C78" s="17">
        <f t="shared" si="70"/>
        <v>16.450533383604018</v>
      </c>
      <c r="D78" s="17">
        <f t="shared" si="70"/>
        <v>0.10488744223329327</v>
      </c>
      <c r="E78" s="17">
        <f t="shared" si="70"/>
        <v>-64.630959755573315</v>
      </c>
      <c r="F78" s="17">
        <f t="shared" si="70"/>
        <v>-0.54825422381895672</v>
      </c>
      <c r="G78" s="17">
        <f t="shared" si="70"/>
        <v>-33.991792891925229</v>
      </c>
      <c r="H78" s="17">
        <f t="shared" si="70"/>
        <v>18.698582635356701</v>
      </c>
      <c r="I78" s="17">
        <f t="shared" si="70"/>
        <v>-1.6653380599378593</v>
      </c>
      <c r="J78" s="17">
        <f t="shared" si="70"/>
        <v>-31.264594321033385</v>
      </c>
      <c r="K78" s="17">
        <f t="shared" si="70"/>
        <v>-1.4183814207914995</v>
      </c>
      <c r="L78" s="17">
        <f t="shared" si="70"/>
        <v>0.50698517378798869</v>
      </c>
      <c r="M78" s="17">
        <f t="shared" si="66"/>
        <v>-0.17871560874920478</v>
      </c>
    </row>
    <row r="79" spans="1:29" x14ac:dyDescent="0.2">
      <c r="A79" s="16">
        <v>42461</v>
      </c>
      <c r="B79" s="17">
        <f t="shared" ref="B79:L79" si="71">B61-B$68</f>
        <v>-11.307346485843681</v>
      </c>
      <c r="C79" s="17">
        <f t="shared" si="71"/>
        <v>8.2299270896245318</v>
      </c>
      <c r="D79" s="17">
        <f t="shared" si="71"/>
        <v>-0.11681753264551453</v>
      </c>
      <c r="E79" s="17">
        <f t="shared" si="71"/>
        <v>5.9669109552763189</v>
      </c>
      <c r="F79" s="17">
        <f t="shared" si="71"/>
        <v>-0.14216495484219993</v>
      </c>
      <c r="G79" s="17">
        <f t="shared" si="71"/>
        <v>74.980714554637018</v>
      </c>
      <c r="H79" s="17">
        <f t="shared" si="71"/>
        <v>-46.326894864767326</v>
      </c>
      <c r="I79" s="17">
        <f t="shared" si="71"/>
        <v>-9.4349830285496932</v>
      </c>
      <c r="J79" s="17">
        <f t="shared" si="71"/>
        <v>-21.056282055773124</v>
      </c>
      <c r="K79" s="17">
        <f t="shared" si="71"/>
        <v>-1.7300543201972127</v>
      </c>
      <c r="L79" s="17">
        <f t="shared" si="71"/>
        <v>-3.9690999271907259</v>
      </c>
      <c r="M79" s="17">
        <f t="shared" si="66"/>
        <v>-0.2274584470613415</v>
      </c>
    </row>
    <row r="80" spans="1:29" x14ac:dyDescent="0.2">
      <c r="A80" s="16">
        <v>42491</v>
      </c>
      <c r="B80" s="17">
        <f t="shared" ref="B80:L80" si="72">B62-B$68</f>
        <v>-29.555746244925317</v>
      </c>
      <c r="C80" s="17">
        <f t="shared" si="72"/>
        <v>54.294687100692009</v>
      </c>
      <c r="D80" s="17">
        <f t="shared" si="72"/>
        <v>6.4318456716465739</v>
      </c>
      <c r="E80" s="17">
        <f t="shared" si="72"/>
        <v>57.911911992671833</v>
      </c>
      <c r="F80" s="17">
        <f t="shared" si="72"/>
        <v>-0.40246378989672726</v>
      </c>
      <c r="G80" s="17">
        <f t="shared" si="72"/>
        <v>-2.4498629259825861</v>
      </c>
      <c r="H80" s="17">
        <f t="shared" si="72"/>
        <v>-53.006879377592497</v>
      </c>
      <c r="I80" s="17">
        <f t="shared" si="72"/>
        <v>-3.6556038656731751</v>
      </c>
      <c r="J80" s="17">
        <f t="shared" si="72"/>
        <v>-46.743247416190314</v>
      </c>
      <c r="K80" s="17">
        <f t="shared" si="72"/>
        <v>-3.3908414149621735</v>
      </c>
      <c r="L80" s="17">
        <f t="shared" si="72"/>
        <v>1.5717049330814419</v>
      </c>
      <c r="M80" s="17">
        <f t="shared" si="66"/>
        <v>-0.28210084964741083</v>
      </c>
    </row>
    <row r="81" spans="1:14" x14ac:dyDescent="0.2">
      <c r="A81" s="16">
        <v>42522</v>
      </c>
      <c r="B81" s="17">
        <f t="shared" ref="B81:L81" si="73">B63-B$68</f>
        <v>10.300572412705932</v>
      </c>
      <c r="C81" s="17">
        <f t="shared" si="73"/>
        <v>-6.2341038505766377</v>
      </c>
      <c r="D81" s="17">
        <f t="shared" si="73"/>
        <v>-0.99615143635840475</v>
      </c>
      <c r="E81" s="17">
        <f t="shared" si="73"/>
        <v>63.827687814127898</v>
      </c>
      <c r="F81" s="17">
        <f t="shared" si="73"/>
        <v>9.2006081029025744E-3</v>
      </c>
      <c r="G81" s="17">
        <f t="shared" si="73"/>
        <v>147.44924596967587</v>
      </c>
      <c r="H81" s="17">
        <f t="shared" si="73"/>
        <v>-60.474536344603251</v>
      </c>
      <c r="I81" s="17">
        <f t="shared" si="73"/>
        <v>8.0446147990745729</v>
      </c>
      <c r="J81" s="17">
        <f t="shared" si="73"/>
        <v>-13.90574738595086</v>
      </c>
      <c r="K81" s="17">
        <f t="shared" si="73"/>
        <v>0.88658032866925218</v>
      </c>
      <c r="L81" s="17">
        <f t="shared" si="73"/>
        <v>-0.77723559888554661</v>
      </c>
      <c r="M81" s="17">
        <f t="shared" si="66"/>
        <v>-0.23105906327856901</v>
      </c>
    </row>
    <row r="82" spans="1:14" x14ac:dyDescent="0.2">
      <c r="A82" s="16">
        <v>42552</v>
      </c>
      <c r="B82" s="17">
        <f t="shared" ref="B82:L82" si="74">B64-B$68</f>
        <v>76.843929116395771</v>
      </c>
      <c r="C82" s="17">
        <f t="shared" si="74"/>
        <v>18.100100553559876</v>
      </c>
      <c r="D82" s="17">
        <f t="shared" si="74"/>
        <v>-0.53570534491143285</v>
      </c>
      <c r="E82" s="17">
        <f t="shared" si="74"/>
        <v>61.843241119198183</v>
      </c>
      <c r="F82" s="17">
        <f t="shared" si="74"/>
        <v>0.38661093553013892</v>
      </c>
      <c r="G82" s="17">
        <f t="shared" si="74"/>
        <v>25.910556530642197</v>
      </c>
      <c r="H82" s="17">
        <f t="shared" si="74"/>
        <v>-31.490212617490954</v>
      </c>
      <c r="I82" s="17">
        <f t="shared" si="74"/>
        <v>8.1054157294787537</v>
      </c>
      <c r="J82" s="17">
        <f t="shared" si="74"/>
        <v>84.713059788761058</v>
      </c>
      <c r="K82" s="17">
        <f t="shared" si="74"/>
        <v>7.0465686001915673</v>
      </c>
      <c r="L82" s="17">
        <f t="shared" si="74"/>
        <v>6.2176152947676755</v>
      </c>
      <c r="M82" s="17">
        <f t="shared" si="66"/>
        <v>-0.15533125623079952</v>
      </c>
    </row>
    <row r="83" spans="1:14" x14ac:dyDescent="0.2">
      <c r="A83" s="16">
        <v>42583</v>
      </c>
      <c r="B83" s="17">
        <f t="shared" ref="B83:L83" si="75">B65-B$68</f>
        <v>10.128518836406215</v>
      </c>
      <c r="C83" s="17">
        <f t="shared" si="75"/>
        <v>-3.3956551195362081</v>
      </c>
      <c r="D83" s="17">
        <f t="shared" si="75"/>
        <v>-0.22660776520918624</v>
      </c>
      <c r="E83" s="17">
        <f t="shared" si="75"/>
        <v>46.335028429802662</v>
      </c>
      <c r="F83" s="17">
        <f t="shared" si="75"/>
        <v>-0.39264191329243525</v>
      </c>
      <c r="G83" s="17">
        <f t="shared" si="75"/>
        <v>-29.424073285668101</v>
      </c>
      <c r="H83" s="17">
        <f t="shared" si="75"/>
        <v>14.812514824211206</v>
      </c>
      <c r="I83" s="17">
        <f t="shared" si="75"/>
        <v>9.402497082779</v>
      </c>
      <c r="J83" s="17">
        <f t="shared" si="75"/>
        <v>38.061736615760083</v>
      </c>
      <c r="K83" s="17">
        <f t="shared" si="75"/>
        <v>1.3969655394711369</v>
      </c>
      <c r="L83" s="17">
        <f t="shared" si="75"/>
        <v>-4.4631497133669953</v>
      </c>
      <c r="M83" s="17">
        <f t="shared" si="66"/>
        <v>-0.12910645344601729</v>
      </c>
    </row>
    <row r="84" spans="1:14" x14ac:dyDescent="0.2">
      <c r="A84" s="16">
        <v>42614</v>
      </c>
      <c r="B84" s="17">
        <f t="shared" ref="B84:L84" si="76">B66-B$68</f>
        <v>5.3303276685744834</v>
      </c>
      <c r="C84" s="17">
        <f t="shared" si="76"/>
        <v>31.609783211128921</v>
      </c>
      <c r="D84" s="17">
        <f t="shared" si="76"/>
        <v>0.69409039119921268</v>
      </c>
      <c r="E84" s="17">
        <f t="shared" si="76"/>
        <v>108.8333418935361</v>
      </c>
      <c r="F84" s="17">
        <f t="shared" si="76"/>
        <v>0.76638971212446505</v>
      </c>
      <c r="G84" s="17">
        <f t="shared" si="76"/>
        <v>43.369972719466375</v>
      </c>
      <c r="H84" s="17">
        <f t="shared" si="76"/>
        <v>-71.204893539323962</v>
      </c>
      <c r="I84" s="17">
        <f t="shared" si="76"/>
        <v>1.9944910097732667</v>
      </c>
      <c r="J84" s="17">
        <f t="shared" si="76"/>
        <v>72.433097307530574</v>
      </c>
      <c r="K84" s="17">
        <f t="shared" si="76"/>
        <v>-2.7582143533673982</v>
      </c>
      <c r="L84" s="17">
        <f t="shared" si="76"/>
        <v>-13.328477617697949</v>
      </c>
      <c r="M84" s="17">
        <f t="shared" si="66"/>
        <v>-9.649818961481027E-2</v>
      </c>
    </row>
    <row r="85" spans="1:14" x14ac:dyDescent="0.2">
      <c r="A85" s="15" t="s">
        <v>16</v>
      </c>
      <c r="B85" s="24">
        <f>SUM(B73:B84)</f>
        <v>-5.6843418860808015E-14</v>
      </c>
      <c r="C85" s="24">
        <f t="shared" ref="C85:M85" si="77">SUM(C73:C84)</f>
        <v>3.5527136788005009E-14</v>
      </c>
      <c r="D85" s="24">
        <f t="shared" si="77"/>
        <v>1.4210854715202004E-14</v>
      </c>
      <c r="E85" s="24">
        <f t="shared" si="77"/>
        <v>3.4106051316484809E-13</v>
      </c>
      <c r="F85" s="24">
        <f t="shared" si="77"/>
        <v>-2.4424906541753444E-15</v>
      </c>
      <c r="G85" s="24">
        <f t="shared" si="77"/>
        <v>-3.1263880373444408E-13</v>
      </c>
      <c r="H85" s="24">
        <f t="shared" si="77"/>
        <v>1.7053025658242404E-13</v>
      </c>
      <c r="I85" s="24">
        <f t="shared" si="77"/>
        <v>0</v>
      </c>
      <c r="J85" s="24">
        <f t="shared" si="77"/>
        <v>0</v>
      </c>
      <c r="K85" s="24">
        <f t="shared" si="77"/>
        <v>-2.6645352591003757E-14</v>
      </c>
      <c r="L85" s="24">
        <f t="shared" si="77"/>
        <v>-2.1316282072803006E-14</v>
      </c>
      <c r="M85" s="24">
        <f t="shared" si="77"/>
        <v>-2.9020453512173887</v>
      </c>
    </row>
    <row r="86" spans="1:14" x14ac:dyDescent="0.2">
      <c r="B86" s="24"/>
      <c r="C86" s="24"/>
      <c r="D86" s="24"/>
      <c r="E86" s="24"/>
      <c r="F86" s="24"/>
      <c r="G86" s="24"/>
      <c r="H86" s="24"/>
      <c r="I86" s="24"/>
      <c r="J86" s="24"/>
      <c r="K86" s="24"/>
      <c r="L86" s="24"/>
      <c r="M86" s="24"/>
    </row>
    <row r="87" spans="1:14" x14ac:dyDescent="0.2">
      <c r="B87" s="247" t="s">
        <v>40</v>
      </c>
      <c r="C87" s="248"/>
      <c r="D87" s="248"/>
      <c r="E87" s="248"/>
      <c r="F87" s="248"/>
      <c r="G87" s="248"/>
      <c r="H87" s="248"/>
      <c r="I87" s="248"/>
      <c r="J87" s="248"/>
      <c r="K87" s="248"/>
      <c r="L87" s="248"/>
      <c r="M87" s="248"/>
    </row>
    <row r="88" spans="1:14" x14ac:dyDescent="0.2">
      <c r="A88" s="15" t="s">
        <v>21</v>
      </c>
      <c r="B88" s="6" t="s">
        <v>7</v>
      </c>
      <c r="C88" s="6" t="s">
        <v>8</v>
      </c>
      <c r="D88" s="6" t="s">
        <v>9</v>
      </c>
      <c r="E88" s="6" t="s">
        <v>10</v>
      </c>
      <c r="F88" s="6" t="s">
        <v>11</v>
      </c>
      <c r="G88" s="4" t="s">
        <v>19</v>
      </c>
      <c r="H88" s="2" t="s">
        <v>12</v>
      </c>
      <c r="I88" s="4" t="s">
        <v>13</v>
      </c>
      <c r="J88" s="4" t="s">
        <v>25</v>
      </c>
      <c r="K88" s="4" t="s">
        <v>14</v>
      </c>
      <c r="L88" s="4" t="s">
        <v>17</v>
      </c>
      <c r="M88" s="4" t="s">
        <v>15</v>
      </c>
    </row>
    <row r="89" spans="1:14" x14ac:dyDescent="0.2">
      <c r="A89" s="16">
        <v>42278</v>
      </c>
      <c r="B89" s="17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</row>
    <row r="90" spans="1:14" x14ac:dyDescent="0.2">
      <c r="A90" s="16">
        <v>42309</v>
      </c>
      <c r="B90" s="17">
        <f>B56-B55</f>
        <v>103.18241562398801</v>
      </c>
      <c r="C90" s="17">
        <f t="shared" ref="C90:M90" si="78">C56-C55</f>
        <v>7.3212842437869128</v>
      </c>
      <c r="D90" s="17">
        <f t="shared" si="78"/>
        <v>2.6509623866522158</v>
      </c>
      <c r="E90" s="17">
        <f t="shared" si="78"/>
        <v>-15.062464131611335</v>
      </c>
      <c r="F90" s="17">
        <f t="shared" si="78"/>
        <v>-1.1753489434649931</v>
      </c>
      <c r="G90" s="17">
        <f t="shared" si="78"/>
        <v>63.878554593081816</v>
      </c>
      <c r="H90" s="17">
        <f t="shared" si="78"/>
        <v>52.552214636318325</v>
      </c>
      <c r="I90" s="17">
        <f t="shared" si="78"/>
        <v>-0.42953852460226827</v>
      </c>
      <c r="J90" s="17">
        <f t="shared" si="78"/>
        <v>-8.1727298772998012</v>
      </c>
      <c r="K90" s="17">
        <f t="shared" si="78"/>
        <v>0.72732011595376944</v>
      </c>
      <c r="L90" s="17">
        <f t="shared" si="78"/>
        <v>19.458132805501954</v>
      </c>
      <c r="M90" s="17">
        <f t="shared" si="78"/>
        <v>9.957825507626944E-3</v>
      </c>
      <c r="N90" s="20"/>
    </row>
    <row r="91" spans="1:14" x14ac:dyDescent="0.2">
      <c r="A91" s="16">
        <v>42339</v>
      </c>
      <c r="B91" s="17">
        <f t="shared" ref="B91:M91" si="79">B57-B56</f>
        <v>-121.81619258055333</v>
      </c>
      <c r="C91" s="17">
        <f t="shared" si="79"/>
        <v>8.8594817723288077</v>
      </c>
      <c r="D91" s="17">
        <f t="shared" si="79"/>
        <v>-1.8893650262407231</v>
      </c>
      <c r="E91" s="17">
        <f t="shared" si="79"/>
        <v>62.299151785747057</v>
      </c>
      <c r="F91" s="17">
        <f t="shared" si="79"/>
        <v>0.45415916239561827</v>
      </c>
      <c r="G91" s="17">
        <f t="shared" si="79"/>
        <v>-41.985168011458995</v>
      </c>
      <c r="H91" s="17">
        <f t="shared" si="79"/>
        <v>33.98941861097461</v>
      </c>
      <c r="I91" s="17">
        <f t="shared" si="79"/>
        <v>-0.99507977752907806</v>
      </c>
      <c r="J91" s="17">
        <f t="shared" si="79"/>
        <v>26.882828658041021</v>
      </c>
      <c r="K91" s="17">
        <f t="shared" si="79"/>
        <v>7.9310331242486338</v>
      </c>
      <c r="L91" s="17">
        <f t="shared" si="79"/>
        <v>-17.204839690711225</v>
      </c>
      <c r="M91" s="17">
        <f t="shared" si="79"/>
        <v>-3.1486378789850583E-2</v>
      </c>
      <c r="N91" s="20"/>
    </row>
    <row r="92" spans="1:14" x14ac:dyDescent="0.2">
      <c r="A92" s="16">
        <v>42370</v>
      </c>
      <c r="B92" s="17">
        <f t="shared" ref="B92:M92" si="80">B58-B57</f>
        <v>35.195923147833014</v>
      </c>
      <c r="C92" s="17">
        <f t="shared" si="80"/>
        <v>4.1209503672107424</v>
      </c>
      <c r="D92" s="17">
        <f t="shared" si="80"/>
        <v>3.024459181853711</v>
      </c>
      <c r="E92" s="17">
        <f t="shared" si="80"/>
        <v>9.4020999827685614</v>
      </c>
      <c r="F92" s="17">
        <f t="shared" si="80"/>
        <v>-0.58035737405679511</v>
      </c>
      <c r="G92" s="17">
        <f t="shared" si="80"/>
        <v>-5.2622595663059997</v>
      </c>
      <c r="H92" s="17">
        <f t="shared" si="80"/>
        <v>63.692463892704154</v>
      </c>
      <c r="I92" s="17">
        <f t="shared" si="80"/>
        <v>-3.1709789953038143</v>
      </c>
      <c r="J92" s="17">
        <f t="shared" si="80"/>
        <v>-72.737464316542585</v>
      </c>
      <c r="K92" s="17">
        <f t="shared" si="80"/>
        <v>-3.8307879237025011</v>
      </c>
      <c r="L92" s="17">
        <f t="shared" si="80"/>
        <v>-2.3334695098401426</v>
      </c>
      <c r="M92" s="17">
        <f t="shared" si="80"/>
        <v>6.6801076066440424E-2</v>
      </c>
      <c r="N92" s="20"/>
    </row>
    <row r="93" spans="1:14" x14ac:dyDescent="0.2">
      <c r="A93" s="16">
        <v>42401</v>
      </c>
      <c r="B93" s="17">
        <f t="shared" ref="B93:M93" si="81">B59-B58</f>
        <v>2.3252177776549843</v>
      </c>
      <c r="C93" s="17">
        <f t="shared" si="81"/>
        <v>36.349118340417576</v>
      </c>
      <c r="D93" s="17">
        <f t="shared" si="81"/>
        <v>-3.4032073458656544</v>
      </c>
      <c r="E93" s="17">
        <f t="shared" si="81"/>
        <v>43.863331250897488</v>
      </c>
      <c r="F93" s="17">
        <f t="shared" si="81"/>
        <v>-0.13138285828699703</v>
      </c>
      <c r="G93" s="17">
        <f t="shared" si="81"/>
        <v>11.725656909139133</v>
      </c>
      <c r="H93" s="17">
        <f t="shared" si="81"/>
        <v>-177.27282009995804</v>
      </c>
      <c r="I93" s="17">
        <f t="shared" si="81"/>
        <v>7.8732389731576493</v>
      </c>
      <c r="J93" s="17">
        <f t="shared" si="81"/>
        <v>17.080714695846879</v>
      </c>
      <c r="K93" s="17">
        <f t="shared" si="81"/>
        <v>-2.0548959541233103</v>
      </c>
      <c r="L93" s="17">
        <f t="shared" si="81"/>
        <v>10.770811818352733</v>
      </c>
      <c r="M93" s="17">
        <f t="shared" si="81"/>
        <v>8.5201164089084958E-2</v>
      </c>
      <c r="N93" s="20"/>
    </row>
    <row r="94" spans="1:14" x14ac:dyDescent="0.2">
      <c r="A94" s="16">
        <v>42430</v>
      </c>
      <c r="B94" s="17">
        <f t="shared" ref="B94:M94" si="82">B60-B59</f>
        <v>17.186011746079217</v>
      </c>
      <c r="C94" s="17">
        <f t="shared" si="82"/>
        <v>3.7016734069539012</v>
      </c>
      <c r="D94" s="17">
        <f t="shared" si="82"/>
        <v>2.3094396281703418</v>
      </c>
      <c r="E94" s="17">
        <f t="shared" si="82"/>
        <v>-71.252620144121124</v>
      </c>
      <c r="F94" s="17">
        <f t="shared" si="82"/>
        <v>-0.10619211423909278</v>
      </c>
      <c r="G94" s="17">
        <f t="shared" si="82"/>
        <v>8.9723457406834655</v>
      </c>
      <c r="H94" s="17">
        <f t="shared" si="82"/>
        <v>52.396686151205074</v>
      </c>
      <c r="I94" s="17">
        <f t="shared" si="82"/>
        <v>-3.0191834919606322</v>
      </c>
      <c r="J94" s="17">
        <f t="shared" si="82"/>
        <v>6.0423315310790002</v>
      </c>
      <c r="K94" s="17">
        <f t="shared" si="82"/>
        <v>-0.78734458435881827</v>
      </c>
      <c r="L94" s="17">
        <f t="shared" si="82"/>
        <v>-6.5676047509068312</v>
      </c>
      <c r="M94" s="17">
        <f t="shared" si="82"/>
        <v>4.4000897391924809E-2</v>
      </c>
      <c r="N94" s="20"/>
    </row>
    <row r="95" spans="1:14" x14ac:dyDescent="0.2">
      <c r="A95" s="16">
        <v>42461</v>
      </c>
      <c r="B95" s="17">
        <f t="shared" ref="B95:M95" si="83">B61-B60</f>
        <v>-11.078758893190837</v>
      </c>
      <c r="C95" s="17">
        <f t="shared" si="83"/>
        <v>-8.2206062939794862</v>
      </c>
      <c r="D95" s="17">
        <f t="shared" si="83"/>
        <v>-0.2217049748788078</v>
      </c>
      <c r="E95" s="17">
        <f t="shared" si="83"/>
        <v>70.597870710849634</v>
      </c>
      <c r="F95" s="17">
        <f t="shared" si="83"/>
        <v>0.40608926897675679</v>
      </c>
      <c r="G95" s="17">
        <f t="shared" si="83"/>
        <v>108.97250744656225</v>
      </c>
      <c r="H95" s="17">
        <f t="shared" si="83"/>
        <v>-65.025477500124026</v>
      </c>
      <c r="I95" s="17">
        <f t="shared" si="83"/>
        <v>-7.7696449686118338</v>
      </c>
      <c r="J95" s="17">
        <f t="shared" si="83"/>
        <v>10.208312265260261</v>
      </c>
      <c r="K95" s="17">
        <f t="shared" si="83"/>
        <v>-0.31167289940571319</v>
      </c>
      <c r="L95" s="17">
        <f t="shared" si="83"/>
        <v>-4.4760851009787146</v>
      </c>
      <c r="M95" s="17">
        <f t="shared" si="83"/>
        <v>-4.8742838312136716E-2</v>
      </c>
      <c r="N95" s="20"/>
    </row>
    <row r="96" spans="1:14" x14ac:dyDescent="0.2">
      <c r="A96" s="16">
        <v>42491</v>
      </c>
      <c r="B96" s="17">
        <f t="shared" ref="B96:M96" si="84">B62-B61</f>
        <v>-18.248399759081636</v>
      </c>
      <c r="C96" s="17">
        <f t="shared" si="84"/>
        <v>46.064760011067477</v>
      </c>
      <c r="D96" s="17">
        <f t="shared" si="84"/>
        <v>6.5486632042920885</v>
      </c>
      <c r="E96" s="17">
        <f t="shared" si="84"/>
        <v>51.945001037395514</v>
      </c>
      <c r="F96" s="17">
        <f t="shared" si="84"/>
        <v>-0.26029883505452733</v>
      </c>
      <c r="G96" s="17">
        <f t="shared" si="84"/>
        <v>-77.430577480619604</v>
      </c>
      <c r="H96" s="17">
        <f t="shared" si="84"/>
        <v>-6.6799845128251718</v>
      </c>
      <c r="I96" s="17">
        <f t="shared" si="84"/>
        <v>5.7793791628765181</v>
      </c>
      <c r="J96" s="17">
        <f t="shared" si="84"/>
        <v>-25.68696536041719</v>
      </c>
      <c r="K96" s="17">
        <f t="shared" si="84"/>
        <v>-1.6607870947649608</v>
      </c>
      <c r="L96" s="17">
        <f t="shared" si="84"/>
        <v>5.5408048602721678</v>
      </c>
      <c r="M96" s="17">
        <f t="shared" si="84"/>
        <v>-5.4642402586069339E-2</v>
      </c>
      <c r="N96" s="20"/>
    </row>
    <row r="97" spans="1:38" x14ac:dyDescent="0.2">
      <c r="A97" s="16">
        <v>42522</v>
      </c>
      <c r="B97" s="17">
        <f t="shared" ref="B97:M97" si="85">B63-B62</f>
        <v>39.856318657631249</v>
      </c>
      <c r="C97" s="17">
        <f t="shared" si="85"/>
        <v>-60.528790951268647</v>
      </c>
      <c r="D97" s="17">
        <f t="shared" si="85"/>
        <v>-7.4279971080049787</v>
      </c>
      <c r="E97" s="17">
        <f t="shared" si="85"/>
        <v>5.9157758214560658</v>
      </c>
      <c r="F97" s="17">
        <f t="shared" si="85"/>
        <v>0.41166439799962984</v>
      </c>
      <c r="G97" s="17">
        <f t="shared" si="85"/>
        <v>149.89910889565846</v>
      </c>
      <c r="H97" s="17">
        <f t="shared" si="85"/>
        <v>-7.467656967010754</v>
      </c>
      <c r="I97" s="17">
        <f t="shared" si="85"/>
        <v>11.700218664747748</v>
      </c>
      <c r="J97" s="17">
        <f t="shared" si="85"/>
        <v>32.837500030239454</v>
      </c>
      <c r="K97" s="17">
        <f t="shared" si="85"/>
        <v>4.2774217436314252</v>
      </c>
      <c r="L97" s="17">
        <f t="shared" si="85"/>
        <v>-2.3489405319669885</v>
      </c>
      <c r="M97" s="17">
        <f t="shared" si="85"/>
        <v>5.1041786368841824E-2</v>
      </c>
      <c r="N97" s="20"/>
    </row>
    <row r="98" spans="1:38" x14ac:dyDescent="0.2">
      <c r="A98" s="16">
        <v>42552</v>
      </c>
      <c r="B98" s="17">
        <f t="shared" ref="B98:M98" si="86">B64-B63</f>
        <v>66.543356703689838</v>
      </c>
      <c r="C98" s="17">
        <f t="shared" si="86"/>
        <v>24.334204404136514</v>
      </c>
      <c r="D98" s="17">
        <f t="shared" si="86"/>
        <v>0.46044609144697191</v>
      </c>
      <c r="E98" s="17">
        <f t="shared" si="86"/>
        <v>-1.9844466949297157</v>
      </c>
      <c r="F98" s="17">
        <f t="shared" si="86"/>
        <v>0.37741032742723635</v>
      </c>
      <c r="G98" s="17">
        <f t="shared" si="86"/>
        <v>-121.53868943903367</v>
      </c>
      <c r="H98" s="17">
        <f t="shared" si="86"/>
        <v>28.984323727112297</v>
      </c>
      <c r="I98" s="17">
        <f t="shared" si="86"/>
        <v>6.0800930404180775E-2</v>
      </c>
      <c r="J98" s="17">
        <f t="shared" si="86"/>
        <v>98.618807174711918</v>
      </c>
      <c r="K98" s="17">
        <f t="shared" si="86"/>
        <v>6.1599882715223151</v>
      </c>
      <c r="L98" s="17">
        <f t="shared" si="86"/>
        <v>6.9948508936532221</v>
      </c>
      <c r="M98" s="17">
        <f t="shared" si="86"/>
        <v>7.5727807047769491E-2</v>
      </c>
      <c r="N98" s="20"/>
    </row>
    <row r="99" spans="1:38" x14ac:dyDescent="0.2">
      <c r="A99" s="16">
        <v>42583</v>
      </c>
      <c r="B99" s="17">
        <f t="shared" ref="B99:M99" si="87">B65-B64</f>
        <v>-66.715410279989555</v>
      </c>
      <c r="C99" s="17">
        <f t="shared" si="87"/>
        <v>-21.495755673096085</v>
      </c>
      <c r="D99" s="17">
        <f t="shared" si="87"/>
        <v>0.30909757970224661</v>
      </c>
      <c r="E99" s="17">
        <f t="shared" si="87"/>
        <v>-15.508212689395521</v>
      </c>
      <c r="F99" s="17">
        <f t="shared" si="87"/>
        <v>-0.77925284882257417</v>
      </c>
      <c r="G99" s="17">
        <f t="shared" si="87"/>
        <v>-55.334629816310297</v>
      </c>
      <c r="H99" s="17">
        <f t="shared" si="87"/>
        <v>46.30272744170216</v>
      </c>
      <c r="I99" s="17">
        <f t="shared" si="87"/>
        <v>1.2970813533002463</v>
      </c>
      <c r="J99" s="17">
        <f t="shared" si="87"/>
        <v>-46.651323173000975</v>
      </c>
      <c r="K99" s="17">
        <f t="shared" si="87"/>
        <v>-5.6496030607204304</v>
      </c>
      <c r="L99" s="17">
        <f t="shared" si="87"/>
        <v>-10.680765008134671</v>
      </c>
      <c r="M99" s="17">
        <f t="shared" si="87"/>
        <v>2.6224802784782231E-2</v>
      </c>
      <c r="N99" s="20"/>
    </row>
    <row r="100" spans="1:38" x14ac:dyDescent="0.2">
      <c r="A100" s="16">
        <v>42614</v>
      </c>
      <c r="B100" s="17">
        <f t="shared" ref="B100:M100" si="88">B66-B65</f>
        <v>-4.7981911678317317</v>
      </c>
      <c r="C100" s="17">
        <f t="shared" si="88"/>
        <v>35.005438330665129</v>
      </c>
      <c r="D100" s="17">
        <f t="shared" si="88"/>
        <v>0.92069815640839892</v>
      </c>
      <c r="E100" s="17">
        <f t="shared" si="88"/>
        <v>62.498313463733439</v>
      </c>
      <c r="F100" s="17">
        <f t="shared" si="88"/>
        <v>1.1590316254169002</v>
      </c>
      <c r="G100" s="17">
        <f t="shared" si="88"/>
        <v>72.794046005134476</v>
      </c>
      <c r="H100" s="17">
        <f t="shared" si="88"/>
        <v>-86.017408363535168</v>
      </c>
      <c r="I100" s="17">
        <f t="shared" si="88"/>
        <v>-7.4080060730057333</v>
      </c>
      <c r="J100" s="17">
        <f t="shared" si="88"/>
        <v>34.371360691770491</v>
      </c>
      <c r="K100" s="17">
        <f t="shared" si="88"/>
        <v>-4.1551798928385351</v>
      </c>
      <c r="L100" s="17">
        <f t="shared" si="88"/>
        <v>-8.8653279043309539</v>
      </c>
      <c r="M100" s="17">
        <f t="shared" si="88"/>
        <v>3.2608263831207018E-2</v>
      </c>
      <c r="N100" s="20"/>
    </row>
    <row r="104" spans="1:38" x14ac:dyDescent="0.2">
      <c r="A104" s="25" t="s">
        <v>44</v>
      </c>
    </row>
    <row r="105" spans="1:38" x14ac:dyDescent="0.2">
      <c r="A105" s="1" t="s">
        <v>26</v>
      </c>
      <c r="B105" s="6" t="s">
        <v>7</v>
      </c>
      <c r="C105" s="6" t="s">
        <v>8</v>
      </c>
      <c r="D105" s="6" t="s">
        <v>9</v>
      </c>
      <c r="E105" s="6" t="s">
        <v>10</v>
      </c>
      <c r="F105" s="6" t="s">
        <v>11</v>
      </c>
      <c r="G105" s="4" t="s">
        <v>19</v>
      </c>
      <c r="H105" s="2" t="s">
        <v>12</v>
      </c>
      <c r="I105" s="4" t="s">
        <v>13</v>
      </c>
      <c r="J105" s="4" t="s">
        <v>25</v>
      </c>
      <c r="K105" s="4" t="s">
        <v>14</v>
      </c>
      <c r="L105" s="4" t="s">
        <v>17</v>
      </c>
      <c r="M105" s="4" t="s">
        <v>15</v>
      </c>
      <c r="N105" s="4" t="s">
        <v>16</v>
      </c>
      <c r="Q105" s="106" t="s">
        <v>26</v>
      </c>
      <c r="R105" s="107" t="s">
        <v>8</v>
      </c>
      <c r="S105" s="107" t="s">
        <v>9</v>
      </c>
      <c r="T105" s="107" t="s">
        <v>10</v>
      </c>
      <c r="U105" s="107" t="s">
        <v>11</v>
      </c>
      <c r="V105" s="107" t="s">
        <v>130</v>
      </c>
      <c r="W105" s="107" t="s">
        <v>131</v>
      </c>
      <c r="X105" s="107" t="s">
        <v>132</v>
      </c>
      <c r="Y105" s="107" t="s">
        <v>133</v>
      </c>
      <c r="Z105" s="107" t="s">
        <v>60</v>
      </c>
      <c r="AA105" s="107" t="s">
        <v>134</v>
      </c>
      <c r="AB105" s="107" t="s">
        <v>135</v>
      </c>
      <c r="AC105" s="107" t="s">
        <v>136</v>
      </c>
      <c r="AD105" s="107" t="s">
        <v>12</v>
      </c>
      <c r="AE105" s="107" t="s">
        <v>13</v>
      </c>
      <c r="AF105" s="107" t="s">
        <v>137</v>
      </c>
      <c r="AG105" s="107" t="s">
        <v>138</v>
      </c>
      <c r="AH105" s="107" t="s">
        <v>25</v>
      </c>
      <c r="AI105" s="107" t="s">
        <v>14</v>
      </c>
      <c r="AJ105" s="107" t="s">
        <v>139</v>
      </c>
      <c r="AK105" s="107" t="s">
        <v>15</v>
      </c>
      <c r="AL105" s="107" t="s">
        <v>16</v>
      </c>
    </row>
    <row r="106" spans="1:38" x14ac:dyDescent="0.2">
      <c r="A106" s="4" t="s">
        <v>113</v>
      </c>
      <c r="B106" s="26">
        <f>V106+W106+X106+Y106</f>
        <v>534</v>
      </c>
      <c r="C106" s="26">
        <f>R106</f>
        <v>1523</v>
      </c>
      <c r="D106" s="26">
        <f>S106</f>
        <v>22289</v>
      </c>
      <c r="E106" s="26">
        <f>T106</f>
        <v>17103</v>
      </c>
      <c r="F106" s="26">
        <f>U106</f>
        <v>470</v>
      </c>
      <c r="G106" s="26">
        <f>Z106+AA106+AB106+AC106</f>
        <v>21989</v>
      </c>
      <c r="H106" s="26">
        <f>AD106</f>
        <v>4551</v>
      </c>
      <c r="I106" s="26">
        <f>AE106+AF106+AG106</f>
        <v>2870</v>
      </c>
      <c r="J106" s="26">
        <f>AH106</f>
        <v>4850</v>
      </c>
      <c r="K106" s="26">
        <f>AI106</f>
        <v>3047</v>
      </c>
      <c r="L106" s="26">
        <f t="shared" ref="L106:M106" si="89">AJ106</f>
        <v>4075</v>
      </c>
      <c r="M106" s="26">
        <f t="shared" si="89"/>
        <v>162899</v>
      </c>
      <c r="N106" s="26">
        <f t="shared" ref="N106:N118" si="90">SUM(B106:M106)</f>
        <v>246200</v>
      </c>
      <c r="Q106" s="108" t="s">
        <v>113</v>
      </c>
      <c r="R106" s="107">
        <v>1523</v>
      </c>
      <c r="S106" s="107">
        <v>22289</v>
      </c>
      <c r="T106" s="107">
        <v>17103</v>
      </c>
      <c r="U106" s="107">
        <v>470</v>
      </c>
      <c r="V106" s="107">
        <v>103</v>
      </c>
      <c r="W106" s="107">
        <v>158</v>
      </c>
      <c r="X106" s="107">
        <v>92</v>
      </c>
      <c r="Y106" s="107">
        <v>181</v>
      </c>
      <c r="Z106" s="107">
        <v>17228</v>
      </c>
      <c r="AA106" s="107">
        <v>1129</v>
      </c>
      <c r="AB106" s="107">
        <v>3444</v>
      </c>
      <c r="AC106" s="107">
        <v>188</v>
      </c>
      <c r="AD106" s="107">
        <v>4551</v>
      </c>
      <c r="AE106" s="107">
        <v>1068</v>
      </c>
      <c r="AF106" s="107">
        <v>81</v>
      </c>
      <c r="AG106" s="107">
        <v>1721</v>
      </c>
      <c r="AH106" s="107">
        <v>4850</v>
      </c>
      <c r="AI106" s="107">
        <v>3047</v>
      </c>
      <c r="AJ106" s="107">
        <v>4075</v>
      </c>
      <c r="AK106" s="107">
        <v>162899</v>
      </c>
      <c r="AL106" s="107">
        <v>57665124</v>
      </c>
    </row>
    <row r="107" spans="1:38" x14ac:dyDescent="0.2">
      <c r="A107" s="4" t="s">
        <v>114</v>
      </c>
      <c r="B107" s="26">
        <f t="shared" ref="B107:B117" si="91">V107+W107+X107+Y107</f>
        <v>541</v>
      </c>
      <c r="C107" s="26">
        <f t="shared" ref="C107:C117" si="92">R107</f>
        <v>1560</v>
      </c>
      <c r="D107" s="26">
        <f t="shared" ref="D107:D117" si="93">S107</f>
        <v>20861</v>
      </c>
      <c r="E107" s="26">
        <f t="shared" ref="E107:E117" si="94">T107</f>
        <v>18757</v>
      </c>
      <c r="F107" s="26">
        <f t="shared" ref="F107:F117" si="95">U107</f>
        <v>323</v>
      </c>
      <c r="G107" s="26">
        <f t="shared" ref="G107:G117" si="96">Z107+AA107+AB107+AC107</f>
        <v>21843</v>
      </c>
      <c r="H107" s="26">
        <f t="shared" ref="H107:H117" si="97">AD107</f>
        <v>5170</v>
      </c>
      <c r="I107" s="26">
        <f t="shared" ref="I107:I117" si="98">AE107+AF107+AG107</f>
        <v>2829</v>
      </c>
      <c r="J107" s="26">
        <f t="shared" ref="J107:J117" si="99">AH107</f>
        <v>4730</v>
      </c>
      <c r="K107" s="26">
        <f t="shared" ref="K107:K117" si="100">AI107</f>
        <v>2388</v>
      </c>
      <c r="L107" s="26">
        <f t="shared" ref="L107:L117" si="101">AJ107</f>
        <v>4088</v>
      </c>
      <c r="M107" s="26">
        <f t="shared" ref="M107:M117" si="102">AK107</f>
        <v>101237</v>
      </c>
      <c r="N107" s="26">
        <f t="shared" si="90"/>
        <v>184327</v>
      </c>
      <c r="Q107" s="108" t="s">
        <v>114</v>
      </c>
      <c r="R107" s="107">
        <v>1560</v>
      </c>
      <c r="S107" s="107">
        <v>20861</v>
      </c>
      <c r="T107" s="107">
        <v>18757</v>
      </c>
      <c r="U107" s="107">
        <v>323</v>
      </c>
      <c r="V107" s="107">
        <v>96</v>
      </c>
      <c r="W107" s="107">
        <v>142</v>
      </c>
      <c r="X107" s="107">
        <v>118</v>
      </c>
      <c r="Y107" s="107">
        <v>185</v>
      </c>
      <c r="Z107" s="107">
        <v>15795</v>
      </c>
      <c r="AA107" s="107">
        <v>1556</v>
      </c>
      <c r="AB107" s="107">
        <v>3767</v>
      </c>
      <c r="AC107" s="107">
        <v>725</v>
      </c>
      <c r="AD107" s="107">
        <v>5170</v>
      </c>
      <c r="AE107" s="107">
        <v>1075</v>
      </c>
      <c r="AF107" s="107">
        <v>126</v>
      </c>
      <c r="AG107" s="107">
        <v>1628</v>
      </c>
      <c r="AH107" s="107">
        <v>4730</v>
      </c>
      <c r="AI107" s="107">
        <v>2388</v>
      </c>
      <c r="AJ107" s="107">
        <v>4088</v>
      </c>
      <c r="AK107" s="107">
        <v>101237</v>
      </c>
      <c r="AL107" s="107">
        <v>88114935</v>
      </c>
    </row>
    <row r="108" spans="1:38" x14ac:dyDescent="0.2">
      <c r="A108" s="4" t="s">
        <v>115</v>
      </c>
      <c r="B108" s="26">
        <f t="shared" si="91"/>
        <v>515</v>
      </c>
      <c r="C108" s="26">
        <f t="shared" si="92"/>
        <v>2103</v>
      </c>
      <c r="D108" s="26">
        <f t="shared" si="93"/>
        <v>17996</v>
      </c>
      <c r="E108" s="26">
        <f t="shared" si="94"/>
        <v>18370</v>
      </c>
      <c r="F108" s="26">
        <f t="shared" si="95"/>
        <v>274</v>
      </c>
      <c r="G108" s="26">
        <f t="shared" si="96"/>
        <v>19684</v>
      </c>
      <c r="H108" s="26">
        <f t="shared" si="97"/>
        <v>4891</v>
      </c>
      <c r="I108" s="26">
        <f t="shared" si="98"/>
        <v>1959</v>
      </c>
      <c r="J108" s="26">
        <f t="shared" si="99"/>
        <v>4790</v>
      </c>
      <c r="K108" s="26">
        <f t="shared" si="100"/>
        <v>2018</v>
      </c>
      <c r="L108" s="26">
        <f t="shared" si="101"/>
        <v>3567</v>
      </c>
      <c r="M108" s="26">
        <f t="shared" si="102"/>
        <v>69309</v>
      </c>
      <c r="N108" s="26">
        <f t="shared" si="90"/>
        <v>145476</v>
      </c>
      <c r="Q108" s="108" t="s">
        <v>115</v>
      </c>
      <c r="R108" s="107">
        <v>2103</v>
      </c>
      <c r="S108" s="107">
        <v>17996</v>
      </c>
      <c r="T108" s="107">
        <v>18370</v>
      </c>
      <c r="U108" s="107">
        <v>274</v>
      </c>
      <c r="V108" s="107">
        <v>104</v>
      </c>
      <c r="W108" s="107">
        <v>150</v>
      </c>
      <c r="X108" s="107">
        <v>105</v>
      </c>
      <c r="Y108" s="107">
        <v>156</v>
      </c>
      <c r="Z108" s="107">
        <v>15198</v>
      </c>
      <c r="AA108" s="107">
        <v>1132</v>
      </c>
      <c r="AB108" s="107">
        <v>3161</v>
      </c>
      <c r="AC108" s="107">
        <v>193</v>
      </c>
      <c r="AD108" s="107">
        <v>4891</v>
      </c>
      <c r="AE108" s="107">
        <v>903</v>
      </c>
      <c r="AF108" s="107">
        <v>80</v>
      </c>
      <c r="AG108" s="107">
        <v>976</v>
      </c>
      <c r="AH108" s="107">
        <v>4790</v>
      </c>
      <c r="AI108" s="107">
        <v>2018</v>
      </c>
      <c r="AJ108" s="107">
        <v>3567</v>
      </c>
      <c r="AK108" s="107">
        <v>69309</v>
      </c>
      <c r="AL108" s="107">
        <v>84738158</v>
      </c>
    </row>
    <row r="109" spans="1:38" x14ac:dyDescent="0.2">
      <c r="A109" s="4" t="s">
        <v>103</v>
      </c>
      <c r="B109" s="26">
        <f t="shared" si="91"/>
        <v>594</v>
      </c>
      <c r="C109" s="26">
        <f t="shared" si="92"/>
        <v>1920</v>
      </c>
      <c r="D109" s="26">
        <f t="shared" si="93"/>
        <v>19510</v>
      </c>
      <c r="E109" s="26">
        <f t="shared" si="94"/>
        <v>19606</v>
      </c>
      <c r="F109" s="26">
        <f t="shared" si="95"/>
        <v>318</v>
      </c>
      <c r="G109" s="26">
        <f t="shared" si="96"/>
        <v>19955</v>
      </c>
      <c r="H109" s="26">
        <f t="shared" si="97"/>
        <v>5666</v>
      </c>
      <c r="I109" s="26">
        <f t="shared" si="98"/>
        <v>2934</v>
      </c>
      <c r="J109" s="26">
        <f t="shared" si="99"/>
        <v>3443</v>
      </c>
      <c r="K109" s="26">
        <f t="shared" si="100"/>
        <v>2341</v>
      </c>
      <c r="L109" s="26">
        <f t="shared" si="101"/>
        <v>4183</v>
      </c>
      <c r="M109" s="26">
        <f t="shared" si="102"/>
        <v>69334</v>
      </c>
      <c r="N109" s="26">
        <f t="shared" si="90"/>
        <v>149804</v>
      </c>
      <c r="Q109" s="108" t="s">
        <v>103</v>
      </c>
      <c r="R109" s="107">
        <v>1920</v>
      </c>
      <c r="S109" s="107">
        <v>19510</v>
      </c>
      <c r="T109" s="107">
        <v>19606</v>
      </c>
      <c r="U109" s="107">
        <v>318</v>
      </c>
      <c r="V109" s="107">
        <v>92</v>
      </c>
      <c r="W109" s="107">
        <v>182</v>
      </c>
      <c r="X109" s="107">
        <v>125</v>
      </c>
      <c r="Y109" s="107">
        <v>195</v>
      </c>
      <c r="Z109" s="107">
        <v>15504</v>
      </c>
      <c r="AA109" s="107">
        <v>1207</v>
      </c>
      <c r="AB109" s="107">
        <v>3115</v>
      </c>
      <c r="AC109" s="107">
        <v>129</v>
      </c>
      <c r="AD109" s="107">
        <v>5666</v>
      </c>
      <c r="AE109" s="107">
        <v>937</v>
      </c>
      <c r="AF109" s="107">
        <v>107</v>
      </c>
      <c r="AG109" s="107">
        <v>1890</v>
      </c>
      <c r="AH109" s="107">
        <v>3443</v>
      </c>
      <c r="AI109" s="107">
        <v>2341</v>
      </c>
      <c r="AJ109" s="107">
        <v>4183</v>
      </c>
      <c r="AK109" s="107">
        <v>69334</v>
      </c>
      <c r="AL109" s="107">
        <v>85797722</v>
      </c>
    </row>
    <row r="110" spans="1:38" x14ac:dyDescent="0.2">
      <c r="A110" s="4" t="s">
        <v>104</v>
      </c>
      <c r="B110" s="26">
        <f t="shared" si="91"/>
        <v>524</v>
      </c>
      <c r="C110" s="26">
        <f t="shared" si="92"/>
        <v>2110</v>
      </c>
      <c r="D110" s="26">
        <f t="shared" si="93"/>
        <v>24695</v>
      </c>
      <c r="E110" s="26">
        <f t="shared" si="94"/>
        <v>15395</v>
      </c>
      <c r="F110" s="26">
        <f t="shared" si="95"/>
        <v>307</v>
      </c>
      <c r="G110" s="26">
        <f t="shared" si="96"/>
        <v>23769</v>
      </c>
      <c r="H110" s="26">
        <f t="shared" si="97"/>
        <v>3308</v>
      </c>
      <c r="I110" s="26">
        <f t="shared" si="98"/>
        <v>3179</v>
      </c>
      <c r="J110" s="26">
        <f t="shared" si="99"/>
        <v>3905</v>
      </c>
      <c r="K110" s="26">
        <f t="shared" si="100"/>
        <v>2349</v>
      </c>
      <c r="L110" s="26">
        <f t="shared" si="101"/>
        <v>4224</v>
      </c>
      <c r="M110" s="26">
        <f t="shared" si="102"/>
        <v>64049</v>
      </c>
      <c r="N110" s="26">
        <f t="shared" si="90"/>
        <v>147814</v>
      </c>
      <c r="Q110" s="108" t="s">
        <v>104</v>
      </c>
      <c r="R110" s="107">
        <v>2110</v>
      </c>
      <c r="S110" s="107">
        <v>24695</v>
      </c>
      <c r="T110" s="107">
        <v>15395</v>
      </c>
      <c r="U110" s="107">
        <v>307</v>
      </c>
      <c r="V110" s="107">
        <v>79</v>
      </c>
      <c r="W110" s="107">
        <v>148</v>
      </c>
      <c r="X110" s="107">
        <v>110</v>
      </c>
      <c r="Y110" s="107">
        <v>187</v>
      </c>
      <c r="Z110" s="107">
        <v>18694</v>
      </c>
      <c r="AA110" s="107">
        <v>1280</v>
      </c>
      <c r="AB110" s="107">
        <v>3680</v>
      </c>
      <c r="AC110" s="107">
        <v>115</v>
      </c>
      <c r="AD110" s="107">
        <v>3308</v>
      </c>
      <c r="AE110" s="107">
        <v>913</v>
      </c>
      <c r="AF110" s="107">
        <v>107</v>
      </c>
      <c r="AG110" s="107">
        <v>2159</v>
      </c>
      <c r="AH110" s="107">
        <v>3905</v>
      </c>
      <c r="AI110" s="107">
        <v>2349</v>
      </c>
      <c r="AJ110" s="107">
        <v>4224</v>
      </c>
      <c r="AK110" s="107">
        <v>64049</v>
      </c>
      <c r="AL110" s="107">
        <v>75660215</v>
      </c>
    </row>
    <row r="111" spans="1:38" x14ac:dyDescent="0.2">
      <c r="A111" s="4" t="s">
        <v>105</v>
      </c>
      <c r="B111" s="26">
        <f t="shared" si="91"/>
        <v>619</v>
      </c>
      <c r="C111" s="26">
        <f t="shared" si="92"/>
        <v>2744</v>
      </c>
      <c r="D111" s="26">
        <f t="shared" si="93"/>
        <v>34842</v>
      </c>
      <c r="E111" s="26">
        <f t="shared" si="94"/>
        <v>18945</v>
      </c>
      <c r="F111" s="26">
        <f t="shared" si="95"/>
        <v>336</v>
      </c>
      <c r="G111" s="26">
        <f t="shared" si="96"/>
        <v>27810</v>
      </c>
      <c r="H111" s="26">
        <f t="shared" si="97"/>
        <v>5809</v>
      </c>
      <c r="I111" s="26">
        <f t="shared" si="98"/>
        <v>2888</v>
      </c>
      <c r="J111" s="26">
        <f t="shared" si="99"/>
        <v>5319</v>
      </c>
      <c r="K111" s="26">
        <f t="shared" si="100"/>
        <v>2241</v>
      </c>
      <c r="L111" s="26">
        <f t="shared" si="101"/>
        <v>4881</v>
      </c>
      <c r="M111" s="26">
        <f t="shared" si="102"/>
        <v>49980</v>
      </c>
      <c r="N111" s="26">
        <f t="shared" si="90"/>
        <v>156414</v>
      </c>
      <c r="Q111" s="108" t="s">
        <v>105</v>
      </c>
      <c r="R111" s="107">
        <v>2744</v>
      </c>
      <c r="S111" s="107">
        <v>34842</v>
      </c>
      <c r="T111" s="107">
        <v>18945</v>
      </c>
      <c r="U111" s="107">
        <v>336</v>
      </c>
      <c r="V111" s="107">
        <v>116</v>
      </c>
      <c r="W111" s="107">
        <v>147</v>
      </c>
      <c r="X111" s="107">
        <v>139</v>
      </c>
      <c r="Y111" s="107">
        <v>217</v>
      </c>
      <c r="Z111" s="107">
        <v>21241</v>
      </c>
      <c r="AA111" s="107">
        <v>1732</v>
      </c>
      <c r="AB111" s="107">
        <v>4329</v>
      </c>
      <c r="AC111" s="107">
        <v>508</v>
      </c>
      <c r="AD111" s="107">
        <v>5809</v>
      </c>
      <c r="AE111" s="107">
        <v>1086</v>
      </c>
      <c r="AF111" s="107">
        <v>124</v>
      </c>
      <c r="AG111" s="107">
        <v>1678</v>
      </c>
      <c r="AH111" s="107">
        <v>5319</v>
      </c>
      <c r="AI111" s="107">
        <v>2241</v>
      </c>
      <c r="AJ111" s="107">
        <v>4881</v>
      </c>
      <c r="AK111" s="107">
        <v>49980</v>
      </c>
      <c r="AL111" s="107">
        <v>91241749</v>
      </c>
    </row>
    <row r="112" spans="1:38" x14ac:dyDescent="0.2">
      <c r="A112" s="4" t="s">
        <v>106</v>
      </c>
      <c r="B112" s="26">
        <f t="shared" si="91"/>
        <v>660</v>
      </c>
      <c r="C112" s="26">
        <f t="shared" si="92"/>
        <v>3195</v>
      </c>
      <c r="D112" s="26">
        <f t="shared" si="93"/>
        <v>22578</v>
      </c>
      <c r="E112" s="26">
        <f t="shared" si="94"/>
        <v>19288</v>
      </c>
      <c r="F112" s="26">
        <f t="shared" si="95"/>
        <v>346</v>
      </c>
      <c r="G112" s="26">
        <f t="shared" si="96"/>
        <v>37640</v>
      </c>
      <c r="H112" s="26">
        <f t="shared" si="97"/>
        <v>5257</v>
      </c>
      <c r="I112" s="26">
        <f t="shared" si="98"/>
        <v>2878</v>
      </c>
      <c r="J112" s="26">
        <f t="shared" si="99"/>
        <v>5473</v>
      </c>
      <c r="K112" s="26">
        <f t="shared" si="100"/>
        <v>2527</v>
      </c>
      <c r="L112" s="26">
        <f t="shared" si="101"/>
        <v>4984</v>
      </c>
      <c r="M112" s="26">
        <f t="shared" si="102"/>
        <v>44329</v>
      </c>
      <c r="N112" s="26">
        <f t="shared" si="90"/>
        <v>149155</v>
      </c>
      <c r="Q112" s="108" t="s">
        <v>106</v>
      </c>
      <c r="R112" s="107">
        <v>3195</v>
      </c>
      <c r="S112" s="107">
        <v>22578</v>
      </c>
      <c r="T112" s="107">
        <v>19288</v>
      </c>
      <c r="U112" s="107">
        <v>346</v>
      </c>
      <c r="V112" s="107">
        <v>73</v>
      </c>
      <c r="W112" s="107">
        <v>173</v>
      </c>
      <c r="X112" s="107">
        <v>179</v>
      </c>
      <c r="Y112" s="107">
        <v>235</v>
      </c>
      <c r="Z112" s="107">
        <v>29693</v>
      </c>
      <c r="AA112" s="107">
        <v>2150</v>
      </c>
      <c r="AB112" s="107">
        <v>5157</v>
      </c>
      <c r="AC112" s="107">
        <v>640</v>
      </c>
      <c r="AD112" s="107">
        <v>5257</v>
      </c>
      <c r="AE112" s="107">
        <v>1292</v>
      </c>
      <c r="AF112" s="107">
        <v>102</v>
      </c>
      <c r="AG112" s="107">
        <v>1484</v>
      </c>
      <c r="AH112" s="107">
        <v>5473</v>
      </c>
      <c r="AI112" s="107">
        <v>2527</v>
      </c>
      <c r="AJ112" s="107">
        <v>4984</v>
      </c>
      <c r="AK112" s="107">
        <v>44329</v>
      </c>
      <c r="AL112" s="107">
        <v>79037772</v>
      </c>
    </row>
    <row r="113" spans="1:38" x14ac:dyDescent="0.2">
      <c r="A113" s="4" t="s">
        <v>107</v>
      </c>
      <c r="B113" s="26">
        <f t="shared" si="91"/>
        <v>612</v>
      </c>
      <c r="C113" s="26">
        <f t="shared" si="92"/>
        <v>2991</v>
      </c>
      <c r="D113" s="26">
        <f t="shared" si="93"/>
        <v>28802</v>
      </c>
      <c r="E113" s="26">
        <f t="shared" si="94"/>
        <v>18619</v>
      </c>
      <c r="F113" s="26">
        <f t="shared" si="95"/>
        <v>296</v>
      </c>
      <c r="G113" s="26">
        <f t="shared" si="96"/>
        <v>32138</v>
      </c>
      <c r="H113" s="26">
        <f t="shared" si="97"/>
        <v>4685</v>
      </c>
      <c r="I113" s="26">
        <f t="shared" si="98"/>
        <v>2933</v>
      </c>
      <c r="J113" s="26">
        <f t="shared" si="99"/>
        <v>4686</v>
      </c>
      <c r="K113" s="26">
        <f t="shared" si="100"/>
        <v>2189</v>
      </c>
      <c r="L113" s="26">
        <f t="shared" si="101"/>
        <v>5567</v>
      </c>
      <c r="M113" s="26">
        <f t="shared" si="102"/>
        <v>39475</v>
      </c>
      <c r="N113" s="26">
        <f t="shared" si="90"/>
        <v>142993</v>
      </c>
      <c r="Q113" s="108" t="s">
        <v>107</v>
      </c>
      <c r="R113" s="107">
        <v>2991</v>
      </c>
      <c r="S113" s="107">
        <v>28802</v>
      </c>
      <c r="T113" s="107">
        <v>18619</v>
      </c>
      <c r="U113" s="107">
        <v>296</v>
      </c>
      <c r="V113" s="107">
        <v>109</v>
      </c>
      <c r="W113" s="107">
        <v>157</v>
      </c>
      <c r="X113" s="107">
        <v>156</v>
      </c>
      <c r="Y113" s="107">
        <v>190</v>
      </c>
      <c r="Z113" s="107">
        <v>24520</v>
      </c>
      <c r="AA113" s="107">
        <v>2045</v>
      </c>
      <c r="AB113" s="107">
        <v>5267</v>
      </c>
      <c r="AC113" s="107">
        <v>306</v>
      </c>
      <c r="AD113" s="107">
        <v>4685</v>
      </c>
      <c r="AE113" s="107">
        <v>961</v>
      </c>
      <c r="AF113" s="107">
        <v>101</v>
      </c>
      <c r="AG113" s="107">
        <v>1871</v>
      </c>
      <c r="AH113" s="107">
        <v>4686</v>
      </c>
      <c r="AI113" s="107">
        <v>2189</v>
      </c>
      <c r="AJ113" s="107">
        <v>5567</v>
      </c>
      <c r="AK113" s="107">
        <v>39475</v>
      </c>
      <c r="AL113" s="107">
        <v>82780437</v>
      </c>
    </row>
    <row r="114" spans="1:38" x14ac:dyDescent="0.2">
      <c r="A114" s="4" t="s">
        <v>108</v>
      </c>
      <c r="B114" s="26">
        <f t="shared" si="91"/>
        <v>662</v>
      </c>
      <c r="C114" s="26">
        <f t="shared" si="92"/>
        <v>2931</v>
      </c>
      <c r="D114" s="26">
        <f t="shared" si="93"/>
        <v>32470</v>
      </c>
      <c r="E114" s="26">
        <f t="shared" si="94"/>
        <v>30087</v>
      </c>
      <c r="F114" s="26">
        <f t="shared" si="95"/>
        <v>235</v>
      </c>
      <c r="G114" s="26">
        <f t="shared" si="96"/>
        <v>39533</v>
      </c>
      <c r="H114" s="26">
        <f t="shared" si="97"/>
        <v>9357</v>
      </c>
      <c r="I114" s="26">
        <f t="shared" si="98"/>
        <v>2740</v>
      </c>
      <c r="J114" s="26">
        <f t="shared" si="99"/>
        <v>4934</v>
      </c>
      <c r="K114" s="26">
        <f t="shared" si="100"/>
        <v>1973</v>
      </c>
      <c r="L114" s="26">
        <f t="shared" si="101"/>
        <v>5651</v>
      </c>
      <c r="M114" s="26">
        <f t="shared" si="102"/>
        <v>30321</v>
      </c>
      <c r="N114" s="26">
        <f t="shared" si="90"/>
        <v>160894</v>
      </c>
      <c r="Q114" s="108" t="s">
        <v>108</v>
      </c>
      <c r="R114" s="107">
        <v>2931</v>
      </c>
      <c r="S114" s="107">
        <v>32470</v>
      </c>
      <c r="T114" s="107">
        <v>30087</v>
      </c>
      <c r="U114" s="107">
        <v>235</v>
      </c>
      <c r="V114" s="107">
        <v>134</v>
      </c>
      <c r="W114" s="107">
        <v>190</v>
      </c>
      <c r="X114" s="107">
        <v>140</v>
      </c>
      <c r="Y114" s="107">
        <v>198</v>
      </c>
      <c r="Z114" s="107">
        <v>32940</v>
      </c>
      <c r="AA114" s="107">
        <v>1697</v>
      </c>
      <c r="AB114" s="107">
        <v>4752</v>
      </c>
      <c r="AC114" s="107">
        <v>144</v>
      </c>
      <c r="AD114" s="107">
        <v>9357</v>
      </c>
      <c r="AE114" s="107">
        <v>912</v>
      </c>
      <c r="AF114" s="107">
        <v>64</v>
      </c>
      <c r="AG114" s="107">
        <v>1764</v>
      </c>
      <c r="AH114" s="107">
        <v>4934</v>
      </c>
      <c r="AI114" s="107">
        <v>1973</v>
      </c>
      <c r="AJ114" s="107">
        <v>5651</v>
      </c>
      <c r="AK114" s="107">
        <v>30321</v>
      </c>
      <c r="AL114" s="107">
        <v>74906739</v>
      </c>
    </row>
    <row r="115" spans="1:38" x14ac:dyDescent="0.2">
      <c r="A115" s="4" t="s">
        <v>109</v>
      </c>
      <c r="B115" s="26">
        <f t="shared" si="91"/>
        <v>609</v>
      </c>
      <c r="C115" s="26">
        <f t="shared" si="92"/>
        <v>2823</v>
      </c>
      <c r="D115" s="26">
        <f t="shared" si="93"/>
        <v>39353</v>
      </c>
      <c r="E115" s="26">
        <f t="shared" si="94"/>
        <v>127578</v>
      </c>
      <c r="F115" s="26">
        <f t="shared" si="95"/>
        <v>233</v>
      </c>
      <c r="G115" s="26">
        <f t="shared" si="96"/>
        <v>83136</v>
      </c>
      <c r="H115" s="26">
        <f t="shared" si="97"/>
        <v>78644</v>
      </c>
      <c r="I115" s="26">
        <f t="shared" si="98"/>
        <v>2588</v>
      </c>
      <c r="J115" s="26">
        <f t="shared" si="99"/>
        <v>3120</v>
      </c>
      <c r="K115" s="26">
        <f t="shared" si="100"/>
        <v>1793</v>
      </c>
      <c r="L115" s="26">
        <f t="shared" si="101"/>
        <v>4832</v>
      </c>
      <c r="M115" s="26">
        <f t="shared" si="102"/>
        <v>29392</v>
      </c>
      <c r="N115" s="26">
        <f t="shared" si="90"/>
        <v>374101</v>
      </c>
      <c r="Q115" s="108" t="s">
        <v>109</v>
      </c>
      <c r="R115" s="107">
        <v>2823</v>
      </c>
      <c r="S115" s="107">
        <v>39353</v>
      </c>
      <c r="T115" s="107">
        <v>127578</v>
      </c>
      <c r="U115" s="107">
        <v>233</v>
      </c>
      <c r="V115" s="107">
        <v>106</v>
      </c>
      <c r="W115" s="107">
        <v>172</v>
      </c>
      <c r="X115" s="107">
        <v>139</v>
      </c>
      <c r="Y115" s="107">
        <v>192</v>
      </c>
      <c r="Z115" s="107">
        <v>77833</v>
      </c>
      <c r="AA115" s="107">
        <v>1214</v>
      </c>
      <c r="AB115" s="107">
        <v>3970</v>
      </c>
      <c r="AC115" s="107">
        <v>119</v>
      </c>
      <c r="AD115" s="107">
        <v>78644</v>
      </c>
      <c r="AE115" s="107">
        <v>875</v>
      </c>
      <c r="AF115" s="107">
        <v>64</v>
      </c>
      <c r="AG115" s="107">
        <v>1649</v>
      </c>
      <c r="AH115" s="107">
        <v>3120</v>
      </c>
      <c r="AI115" s="107">
        <v>1793</v>
      </c>
      <c r="AJ115" s="107">
        <v>4832</v>
      </c>
      <c r="AK115" s="107">
        <v>29392</v>
      </c>
      <c r="AL115" s="107">
        <v>79798009</v>
      </c>
    </row>
    <row r="116" spans="1:38" x14ac:dyDescent="0.2">
      <c r="A116" s="4" t="s">
        <v>110</v>
      </c>
      <c r="B116" s="26">
        <f t="shared" si="91"/>
        <v>513</v>
      </c>
      <c r="C116" s="26">
        <f t="shared" si="92"/>
        <v>3178</v>
      </c>
      <c r="D116" s="26">
        <f t="shared" si="93"/>
        <v>21894</v>
      </c>
      <c r="E116" s="26">
        <f t="shared" si="94"/>
        <v>17577</v>
      </c>
      <c r="F116" s="26">
        <f t="shared" si="95"/>
        <v>261</v>
      </c>
      <c r="G116" s="26">
        <f t="shared" si="96"/>
        <v>11072</v>
      </c>
      <c r="H116" s="26">
        <f t="shared" si="97"/>
        <v>92766</v>
      </c>
      <c r="I116" s="26">
        <f t="shared" si="98"/>
        <v>3005</v>
      </c>
      <c r="J116" s="26">
        <f t="shared" si="99"/>
        <v>3163</v>
      </c>
      <c r="K116" s="26">
        <f t="shared" si="100"/>
        <v>1786</v>
      </c>
      <c r="L116" s="26">
        <f t="shared" si="101"/>
        <v>5058</v>
      </c>
      <c r="M116" s="26">
        <f t="shared" si="102"/>
        <v>36057</v>
      </c>
      <c r="N116" s="26">
        <f t="shared" si="90"/>
        <v>196330</v>
      </c>
      <c r="Q116" s="108" t="s">
        <v>110</v>
      </c>
      <c r="R116" s="107">
        <v>3178</v>
      </c>
      <c r="S116" s="107">
        <v>21894</v>
      </c>
      <c r="T116" s="107">
        <v>17577</v>
      </c>
      <c r="U116" s="107">
        <v>261</v>
      </c>
      <c r="V116" s="107">
        <v>106</v>
      </c>
      <c r="W116" s="107">
        <v>172</v>
      </c>
      <c r="X116" s="107">
        <v>98</v>
      </c>
      <c r="Y116" s="107">
        <v>137</v>
      </c>
      <c r="Z116" s="107">
        <v>5533</v>
      </c>
      <c r="AA116" s="107">
        <v>992</v>
      </c>
      <c r="AB116" s="107">
        <v>4411</v>
      </c>
      <c r="AC116" s="107">
        <v>136</v>
      </c>
      <c r="AD116" s="107">
        <v>92766</v>
      </c>
      <c r="AE116" s="107">
        <v>875</v>
      </c>
      <c r="AF116" s="107">
        <v>67</v>
      </c>
      <c r="AG116" s="107">
        <v>2063</v>
      </c>
      <c r="AH116" s="107">
        <v>3163</v>
      </c>
      <c r="AI116" s="107">
        <v>1786</v>
      </c>
      <c r="AJ116" s="107">
        <v>5058</v>
      </c>
      <c r="AK116" s="107">
        <v>36057</v>
      </c>
      <c r="AL116" s="107">
        <v>79777988</v>
      </c>
    </row>
    <row r="117" spans="1:38" x14ac:dyDescent="0.2">
      <c r="A117" s="4" t="s">
        <v>111</v>
      </c>
      <c r="B117" s="26">
        <f t="shared" si="91"/>
        <v>621</v>
      </c>
      <c r="C117" s="26">
        <f t="shared" si="92"/>
        <v>3565</v>
      </c>
      <c r="D117" s="26">
        <f t="shared" si="93"/>
        <v>39175</v>
      </c>
      <c r="E117" s="26">
        <f t="shared" si="94"/>
        <v>18434</v>
      </c>
      <c r="F117" s="26">
        <f t="shared" si="95"/>
        <v>294</v>
      </c>
      <c r="G117" s="26">
        <f t="shared" si="96"/>
        <v>12515</v>
      </c>
      <c r="H117" s="26">
        <f t="shared" si="97"/>
        <v>71744</v>
      </c>
      <c r="I117" s="26">
        <f t="shared" si="98"/>
        <v>4602</v>
      </c>
      <c r="J117" s="26">
        <f t="shared" si="99"/>
        <v>3481</v>
      </c>
      <c r="K117" s="26">
        <f t="shared" si="100"/>
        <v>2048</v>
      </c>
      <c r="L117" s="26">
        <f t="shared" si="101"/>
        <v>5405</v>
      </c>
      <c r="M117" s="26">
        <f t="shared" si="102"/>
        <v>47103</v>
      </c>
      <c r="N117" s="26">
        <f t="shared" si="90"/>
        <v>208987</v>
      </c>
      <c r="Q117" s="108" t="s">
        <v>111</v>
      </c>
      <c r="R117" s="107">
        <v>3565</v>
      </c>
      <c r="S117" s="107">
        <v>39175</v>
      </c>
      <c r="T117" s="107">
        <v>18434</v>
      </c>
      <c r="U117" s="107">
        <v>294</v>
      </c>
      <c r="V117" s="107">
        <v>104</v>
      </c>
      <c r="W117" s="107">
        <v>177</v>
      </c>
      <c r="X117" s="107">
        <v>130</v>
      </c>
      <c r="Y117" s="107">
        <v>210</v>
      </c>
      <c r="Z117" s="107">
        <v>6209</v>
      </c>
      <c r="AA117" s="107">
        <v>1251</v>
      </c>
      <c r="AB117" s="107">
        <v>4735</v>
      </c>
      <c r="AC117" s="107">
        <v>320</v>
      </c>
      <c r="AD117" s="107">
        <v>71744</v>
      </c>
      <c r="AE117" s="107">
        <v>1150</v>
      </c>
      <c r="AF117" s="107">
        <v>90</v>
      </c>
      <c r="AG117" s="107">
        <v>3362</v>
      </c>
      <c r="AH117" s="107">
        <v>3481</v>
      </c>
      <c r="AI117" s="107">
        <v>2048</v>
      </c>
      <c r="AJ117" s="107">
        <v>5405</v>
      </c>
      <c r="AK117" s="107">
        <v>47103</v>
      </c>
      <c r="AL117" s="107">
        <v>78787291</v>
      </c>
    </row>
    <row r="118" spans="1:38" x14ac:dyDescent="0.2">
      <c r="A118" s="8" t="s">
        <v>20</v>
      </c>
      <c r="B118" s="26">
        <f>SUM(B106:B117)</f>
        <v>7004</v>
      </c>
      <c r="C118" s="26">
        <f t="shared" ref="C118:M118" si="103">SUM(C106:C117)</f>
        <v>30643</v>
      </c>
      <c r="D118" s="26">
        <f t="shared" si="103"/>
        <v>324465</v>
      </c>
      <c r="E118" s="26">
        <f t="shared" si="103"/>
        <v>339759</v>
      </c>
      <c r="F118" s="26">
        <f t="shared" si="103"/>
        <v>3693</v>
      </c>
      <c r="G118" s="26">
        <f t="shared" si="103"/>
        <v>351084</v>
      </c>
      <c r="H118" s="26">
        <f t="shared" si="103"/>
        <v>291848</v>
      </c>
      <c r="I118" s="26">
        <f t="shared" si="103"/>
        <v>35405</v>
      </c>
      <c r="J118" s="26">
        <f t="shared" si="103"/>
        <v>51894</v>
      </c>
      <c r="K118" s="26">
        <f t="shared" si="103"/>
        <v>26700</v>
      </c>
      <c r="L118" s="26">
        <f t="shared" si="103"/>
        <v>56515</v>
      </c>
      <c r="M118" s="26">
        <f t="shared" si="103"/>
        <v>743485</v>
      </c>
      <c r="N118" s="26">
        <f t="shared" si="90"/>
        <v>2262495</v>
      </c>
      <c r="Q118" s="107" t="s">
        <v>20</v>
      </c>
      <c r="R118" s="107">
        <v>2000860</v>
      </c>
      <c r="S118" s="107">
        <v>172036391</v>
      </c>
      <c r="T118" s="107">
        <v>405060654</v>
      </c>
      <c r="U118" s="107">
        <v>6384325</v>
      </c>
      <c r="V118" s="107">
        <v>2224693</v>
      </c>
      <c r="W118" s="107">
        <v>2867869</v>
      </c>
      <c r="X118" s="107">
        <v>4684400</v>
      </c>
      <c r="Y118" s="107">
        <v>6166315</v>
      </c>
      <c r="Z118" s="107">
        <v>160358375</v>
      </c>
      <c r="AA118" s="107">
        <v>1164862</v>
      </c>
      <c r="AB118" s="107">
        <v>602391</v>
      </c>
      <c r="AC118" s="107">
        <v>1150818</v>
      </c>
      <c r="AD118" s="107">
        <v>360644547</v>
      </c>
      <c r="AE118" s="107">
        <v>56975680</v>
      </c>
      <c r="AF118" s="107">
        <v>3384</v>
      </c>
      <c r="AG118" s="107">
        <v>13668302</v>
      </c>
      <c r="AH118" s="107">
        <v>56956518</v>
      </c>
      <c r="AI118" s="107">
        <v>13084823</v>
      </c>
      <c r="AJ118" s="107">
        <v>77176447</v>
      </c>
      <c r="AK118" s="107">
        <v>7651738</v>
      </c>
      <c r="AL118" s="107">
        <v>958306139</v>
      </c>
    </row>
    <row r="119" spans="1:38" x14ac:dyDescent="0.2">
      <c r="A119" s="15" t="s">
        <v>38</v>
      </c>
      <c r="B119" s="27">
        <f>AVERAGE(B106:B117)</f>
        <v>583.66666666666663</v>
      </c>
      <c r="C119" s="27">
        <f t="shared" ref="C119:M119" si="104">AVERAGE(C106:C117)</f>
        <v>2553.5833333333335</v>
      </c>
      <c r="D119" s="27">
        <f t="shared" si="104"/>
        <v>27038.75</v>
      </c>
      <c r="E119" s="27">
        <f t="shared" si="104"/>
        <v>28313.25</v>
      </c>
      <c r="F119" s="27">
        <f t="shared" si="104"/>
        <v>307.75</v>
      </c>
      <c r="G119" s="27">
        <f t="shared" si="104"/>
        <v>29257</v>
      </c>
      <c r="H119" s="27">
        <f t="shared" si="104"/>
        <v>24320.666666666668</v>
      </c>
      <c r="I119" s="27">
        <f t="shared" si="104"/>
        <v>2950.4166666666665</v>
      </c>
      <c r="J119" s="27">
        <f t="shared" si="104"/>
        <v>4324.5</v>
      </c>
      <c r="K119" s="27">
        <f t="shared" si="104"/>
        <v>2225</v>
      </c>
      <c r="L119" s="27">
        <f t="shared" si="104"/>
        <v>4709.583333333333</v>
      </c>
      <c r="M119" s="27">
        <f t="shared" si="104"/>
        <v>61957.083333333336</v>
      </c>
      <c r="N119" s="28"/>
    </row>
    <row r="120" spans="1:38" x14ac:dyDescent="0.2">
      <c r="A120" s="59" t="s">
        <v>140</v>
      </c>
      <c r="B120" s="27">
        <v>4102</v>
      </c>
      <c r="C120" s="27">
        <v>20597</v>
      </c>
      <c r="D120" s="27">
        <v>239164</v>
      </c>
      <c r="E120" s="27">
        <v>277044</v>
      </c>
      <c r="F120" s="27">
        <v>3112</v>
      </c>
      <c r="G120" s="27">
        <v>281142</v>
      </c>
      <c r="H120" s="27">
        <v>252797</v>
      </c>
      <c r="I120" s="27">
        <v>25389</v>
      </c>
      <c r="J120" s="27">
        <v>37578</v>
      </c>
      <c r="K120" s="27">
        <v>22302</v>
      </c>
      <c r="L120" s="27">
        <v>40464</v>
      </c>
      <c r="M120" s="27">
        <v>627879</v>
      </c>
      <c r="N120" s="26">
        <f t="shared" ref="N120:N121" si="105">SUM(B120:M120)</f>
        <v>1831570</v>
      </c>
    </row>
    <row r="121" spans="1:38" x14ac:dyDescent="0.2">
      <c r="A121" s="59" t="s">
        <v>129</v>
      </c>
      <c r="B121" s="27">
        <v>3796</v>
      </c>
      <c r="C121" s="27">
        <v>7714</v>
      </c>
      <c r="D121" s="27">
        <v>177651</v>
      </c>
      <c r="E121" s="27">
        <v>143230</v>
      </c>
      <c r="F121" s="27">
        <v>4136</v>
      </c>
      <c r="G121" s="27">
        <v>174070</v>
      </c>
      <c r="H121" s="27">
        <v>50883</v>
      </c>
      <c r="I121" s="27">
        <v>26284</v>
      </c>
      <c r="J121" s="27">
        <v>38723</v>
      </c>
      <c r="K121" s="27">
        <v>35765</v>
      </c>
      <c r="L121" s="27">
        <v>31220</v>
      </c>
      <c r="M121" s="27">
        <v>717134</v>
      </c>
      <c r="N121" s="26">
        <f t="shared" si="105"/>
        <v>1410606</v>
      </c>
    </row>
    <row r="123" spans="1:38" x14ac:dyDescent="0.2">
      <c r="B123" s="247" t="s">
        <v>39</v>
      </c>
      <c r="C123" s="248"/>
      <c r="D123" s="248"/>
      <c r="E123" s="248"/>
      <c r="F123" s="248"/>
      <c r="G123" s="248"/>
      <c r="H123" s="248"/>
      <c r="I123" s="248"/>
      <c r="J123" s="248"/>
      <c r="K123" s="248"/>
      <c r="L123" s="248"/>
      <c r="M123" s="248"/>
    </row>
    <row r="124" spans="1:38" x14ac:dyDescent="0.2">
      <c r="A124" s="15" t="s">
        <v>21</v>
      </c>
      <c r="B124" s="6" t="s">
        <v>7</v>
      </c>
      <c r="C124" s="6" t="s">
        <v>8</v>
      </c>
      <c r="D124" s="6" t="s">
        <v>9</v>
      </c>
      <c r="E124" s="6" t="s">
        <v>10</v>
      </c>
      <c r="F124" s="6" t="s">
        <v>11</v>
      </c>
      <c r="G124" s="4" t="s">
        <v>19</v>
      </c>
      <c r="H124" s="2" t="s">
        <v>12</v>
      </c>
      <c r="I124" s="4" t="s">
        <v>13</v>
      </c>
      <c r="J124" s="4" t="s">
        <v>25</v>
      </c>
      <c r="K124" s="4" t="s">
        <v>14</v>
      </c>
      <c r="L124" s="4" t="s">
        <v>17</v>
      </c>
      <c r="M124" s="4" t="s">
        <v>15</v>
      </c>
    </row>
    <row r="125" spans="1:38" x14ac:dyDescent="0.2">
      <c r="A125" s="16">
        <v>42278</v>
      </c>
      <c r="B125" s="29">
        <f>B106-B$119</f>
        <v>-49.666666666666629</v>
      </c>
      <c r="C125" s="29">
        <f t="shared" ref="C125:M125" si="106">C106-C$119</f>
        <v>-1030.5833333333335</v>
      </c>
      <c r="D125" s="29">
        <f t="shared" si="106"/>
        <v>-4749.75</v>
      </c>
      <c r="E125" s="29">
        <f t="shared" si="106"/>
        <v>-11210.25</v>
      </c>
      <c r="F125" s="29">
        <f t="shared" si="106"/>
        <v>162.25</v>
      </c>
      <c r="G125" s="29">
        <f t="shared" si="106"/>
        <v>-7268</v>
      </c>
      <c r="H125" s="29">
        <f t="shared" si="106"/>
        <v>-19769.666666666668</v>
      </c>
      <c r="I125" s="29">
        <f t="shared" si="106"/>
        <v>-80.416666666666515</v>
      </c>
      <c r="J125" s="29">
        <f t="shared" si="106"/>
        <v>525.5</v>
      </c>
      <c r="K125" s="29">
        <f t="shared" si="106"/>
        <v>822</v>
      </c>
      <c r="L125" s="29">
        <f t="shared" si="106"/>
        <v>-634.58333333333303</v>
      </c>
      <c r="M125" s="29">
        <f t="shared" si="106"/>
        <v>100941.91666666666</v>
      </c>
      <c r="N125" s="18"/>
      <c r="O125" s="18"/>
    </row>
    <row r="126" spans="1:38" x14ac:dyDescent="0.2">
      <c r="A126" s="16">
        <v>42309</v>
      </c>
      <c r="B126" s="29">
        <f t="shared" ref="B126:M126" si="107">B107-B$119</f>
        <v>-42.666666666666629</v>
      </c>
      <c r="C126" s="29">
        <f t="shared" si="107"/>
        <v>-993.58333333333348</v>
      </c>
      <c r="D126" s="29">
        <f t="shared" si="107"/>
        <v>-6177.75</v>
      </c>
      <c r="E126" s="29">
        <f t="shared" si="107"/>
        <v>-9556.25</v>
      </c>
      <c r="F126" s="29">
        <f t="shared" si="107"/>
        <v>15.25</v>
      </c>
      <c r="G126" s="29">
        <f t="shared" si="107"/>
        <v>-7414</v>
      </c>
      <c r="H126" s="29">
        <f t="shared" si="107"/>
        <v>-19150.666666666668</v>
      </c>
      <c r="I126" s="29">
        <f t="shared" si="107"/>
        <v>-121.41666666666652</v>
      </c>
      <c r="J126" s="29">
        <f t="shared" si="107"/>
        <v>405.5</v>
      </c>
      <c r="K126" s="29">
        <f t="shared" si="107"/>
        <v>163</v>
      </c>
      <c r="L126" s="29">
        <f t="shared" si="107"/>
        <v>-621.58333333333303</v>
      </c>
      <c r="M126" s="29">
        <f t="shared" si="107"/>
        <v>39279.916666666664</v>
      </c>
    </row>
    <row r="127" spans="1:38" x14ac:dyDescent="0.2">
      <c r="A127" s="16">
        <v>42339</v>
      </c>
      <c r="B127" s="29">
        <f t="shared" ref="B127:M127" si="108">B108-B$119</f>
        <v>-68.666666666666629</v>
      </c>
      <c r="C127" s="29">
        <f t="shared" si="108"/>
        <v>-450.58333333333348</v>
      </c>
      <c r="D127" s="29">
        <f t="shared" si="108"/>
        <v>-9042.75</v>
      </c>
      <c r="E127" s="29">
        <f t="shared" si="108"/>
        <v>-9943.25</v>
      </c>
      <c r="F127" s="29">
        <f t="shared" si="108"/>
        <v>-33.75</v>
      </c>
      <c r="G127" s="29">
        <f t="shared" si="108"/>
        <v>-9573</v>
      </c>
      <c r="H127" s="29">
        <f t="shared" si="108"/>
        <v>-19429.666666666668</v>
      </c>
      <c r="I127" s="29">
        <f t="shared" si="108"/>
        <v>-991.41666666666652</v>
      </c>
      <c r="J127" s="29">
        <f t="shared" si="108"/>
        <v>465.5</v>
      </c>
      <c r="K127" s="29">
        <f t="shared" si="108"/>
        <v>-207</v>
      </c>
      <c r="L127" s="29">
        <f t="shared" si="108"/>
        <v>-1142.583333333333</v>
      </c>
      <c r="M127" s="29">
        <f t="shared" si="108"/>
        <v>7351.9166666666642</v>
      </c>
    </row>
    <row r="128" spans="1:38" x14ac:dyDescent="0.2">
      <c r="A128" s="16">
        <v>42370</v>
      </c>
      <c r="B128" s="29">
        <f t="shared" ref="B128:M128" si="109">B109-B$119</f>
        <v>10.333333333333371</v>
      </c>
      <c r="C128" s="29">
        <f t="shared" si="109"/>
        <v>-633.58333333333348</v>
      </c>
      <c r="D128" s="29">
        <f t="shared" si="109"/>
        <v>-7528.75</v>
      </c>
      <c r="E128" s="29">
        <f t="shared" si="109"/>
        <v>-8707.25</v>
      </c>
      <c r="F128" s="29">
        <f t="shared" si="109"/>
        <v>10.25</v>
      </c>
      <c r="G128" s="29">
        <f t="shared" si="109"/>
        <v>-9302</v>
      </c>
      <c r="H128" s="29">
        <f t="shared" si="109"/>
        <v>-18654.666666666668</v>
      </c>
      <c r="I128" s="29">
        <f t="shared" si="109"/>
        <v>-16.416666666666515</v>
      </c>
      <c r="J128" s="29">
        <f t="shared" si="109"/>
        <v>-881.5</v>
      </c>
      <c r="K128" s="29">
        <f t="shared" si="109"/>
        <v>116</v>
      </c>
      <c r="L128" s="29">
        <f t="shared" si="109"/>
        <v>-526.58333333333303</v>
      </c>
      <c r="M128" s="29">
        <f t="shared" si="109"/>
        <v>7376.9166666666642</v>
      </c>
    </row>
    <row r="129" spans="1:21" x14ac:dyDescent="0.2">
      <c r="A129" s="16">
        <v>42401</v>
      </c>
      <c r="B129" s="29">
        <f t="shared" ref="B129:M129" si="110">B110-B$119</f>
        <v>-59.666666666666629</v>
      </c>
      <c r="C129" s="29">
        <f t="shared" si="110"/>
        <v>-443.58333333333348</v>
      </c>
      <c r="D129" s="29">
        <f t="shared" si="110"/>
        <v>-2343.75</v>
      </c>
      <c r="E129" s="29">
        <f t="shared" si="110"/>
        <v>-12918.25</v>
      </c>
      <c r="F129" s="29">
        <f t="shared" si="110"/>
        <v>-0.75</v>
      </c>
      <c r="G129" s="29">
        <f t="shared" si="110"/>
        <v>-5488</v>
      </c>
      <c r="H129" s="29">
        <f t="shared" si="110"/>
        <v>-21012.666666666668</v>
      </c>
      <c r="I129" s="29">
        <f t="shared" si="110"/>
        <v>228.58333333333348</v>
      </c>
      <c r="J129" s="29">
        <f t="shared" si="110"/>
        <v>-419.5</v>
      </c>
      <c r="K129" s="29">
        <f t="shared" si="110"/>
        <v>124</v>
      </c>
      <c r="L129" s="29">
        <f t="shared" si="110"/>
        <v>-485.58333333333303</v>
      </c>
      <c r="M129" s="29">
        <f t="shared" si="110"/>
        <v>2091.9166666666642</v>
      </c>
    </row>
    <row r="130" spans="1:21" x14ac:dyDescent="0.2">
      <c r="A130" s="16">
        <v>42430</v>
      </c>
      <c r="B130" s="29">
        <f t="shared" ref="B130:M130" si="111">B111-B$119</f>
        <v>35.333333333333371</v>
      </c>
      <c r="C130" s="29">
        <f t="shared" si="111"/>
        <v>190.41666666666652</v>
      </c>
      <c r="D130" s="29">
        <f t="shared" si="111"/>
        <v>7803.25</v>
      </c>
      <c r="E130" s="29">
        <f t="shared" si="111"/>
        <v>-9368.25</v>
      </c>
      <c r="F130" s="29">
        <f t="shared" si="111"/>
        <v>28.25</v>
      </c>
      <c r="G130" s="29">
        <f t="shared" si="111"/>
        <v>-1447</v>
      </c>
      <c r="H130" s="29">
        <f t="shared" si="111"/>
        <v>-18511.666666666668</v>
      </c>
      <c r="I130" s="29">
        <f t="shared" si="111"/>
        <v>-62.416666666666515</v>
      </c>
      <c r="J130" s="29">
        <f t="shared" si="111"/>
        <v>994.5</v>
      </c>
      <c r="K130" s="29">
        <f t="shared" si="111"/>
        <v>16</v>
      </c>
      <c r="L130" s="29">
        <f t="shared" si="111"/>
        <v>171.41666666666697</v>
      </c>
      <c r="M130" s="29">
        <f t="shared" si="111"/>
        <v>-11977.083333333336</v>
      </c>
    </row>
    <row r="131" spans="1:21" x14ac:dyDescent="0.2">
      <c r="A131" s="16">
        <v>42461</v>
      </c>
      <c r="B131" s="29">
        <f t="shared" ref="B131:M131" si="112">B112-B$119</f>
        <v>76.333333333333371</v>
      </c>
      <c r="C131" s="29">
        <f t="shared" si="112"/>
        <v>641.41666666666652</v>
      </c>
      <c r="D131" s="29">
        <f t="shared" si="112"/>
        <v>-4460.75</v>
      </c>
      <c r="E131" s="29">
        <f t="shared" si="112"/>
        <v>-9025.25</v>
      </c>
      <c r="F131" s="29">
        <f t="shared" si="112"/>
        <v>38.25</v>
      </c>
      <c r="G131" s="29">
        <f t="shared" si="112"/>
        <v>8383</v>
      </c>
      <c r="H131" s="29">
        <f t="shared" si="112"/>
        <v>-19063.666666666668</v>
      </c>
      <c r="I131" s="29">
        <f t="shared" si="112"/>
        <v>-72.416666666666515</v>
      </c>
      <c r="J131" s="29">
        <f t="shared" si="112"/>
        <v>1148.5</v>
      </c>
      <c r="K131" s="29">
        <f t="shared" si="112"/>
        <v>302</v>
      </c>
      <c r="L131" s="29">
        <f t="shared" si="112"/>
        <v>274.41666666666697</v>
      </c>
      <c r="M131" s="29">
        <f t="shared" si="112"/>
        <v>-17628.083333333336</v>
      </c>
    </row>
    <row r="132" spans="1:21" x14ac:dyDescent="0.2">
      <c r="A132" s="16">
        <v>42491</v>
      </c>
      <c r="B132" s="29">
        <f t="shared" ref="B132:M132" si="113">B113-B$119</f>
        <v>28.333333333333371</v>
      </c>
      <c r="C132" s="29">
        <f t="shared" si="113"/>
        <v>437.41666666666652</v>
      </c>
      <c r="D132" s="29">
        <f t="shared" si="113"/>
        <v>1763.25</v>
      </c>
      <c r="E132" s="29">
        <f t="shared" si="113"/>
        <v>-9694.25</v>
      </c>
      <c r="F132" s="29">
        <f t="shared" si="113"/>
        <v>-11.75</v>
      </c>
      <c r="G132" s="29">
        <f t="shared" si="113"/>
        <v>2881</v>
      </c>
      <c r="H132" s="29">
        <f t="shared" si="113"/>
        <v>-19635.666666666668</v>
      </c>
      <c r="I132" s="29">
        <f t="shared" si="113"/>
        <v>-17.416666666666515</v>
      </c>
      <c r="J132" s="29">
        <f t="shared" si="113"/>
        <v>361.5</v>
      </c>
      <c r="K132" s="29">
        <f t="shared" si="113"/>
        <v>-36</v>
      </c>
      <c r="L132" s="29">
        <f t="shared" si="113"/>
        <v>857.41666666666697</v>
      </c>
      <c r="M132" s="29">
        <f t="shared" si="113"/>
        <v>-22482.083333333336</v>
      </c>
    </row>
    <row r="133" spans="1:21" x14ac:dyDescent="0.2">
      <c r="A133" s="16">
        <v>42522</v>
      </c>
      <c r="B133" s="29">
        <f t="shared" ref="B133:M133" si="114">B114-B$119</f>
        <v>78.333333333333371</v>
      </c>
      <c r="C133" s="29">
        <f t="shared" si="114"/>
        <v>377.41666666666652</v>
      </c>
      <c r="D133" s="29">
        <f t="shared" si="114"/>
        <v>5431.25</v>
      </c>
      <c r="E133" s="29">
        <f t="shared" si="114"/>
        <v>1773.75</v>
      </c>
      <c r="F133" s="29">
        <f t="shared" si="114"/>
        <v>-72.75</v>
      </c>
      <c r="G133" s="29">
        <f t="shared" si="114"/>
        <v>10276</v>
      </c>
      <c r="H133" s="29">
        <f t="shared" si="114"/>
        <v>-14963.666666666668</v>
      </c>
      <c r="I133" s="29">
        <f t="shared" si="114"/>
        <v>-210.41666666666652</v>
      </c>
      <c r="J133" s="29">
        <f t="shared" si="114"/>
        <v>609.5</v>
      </c>
      <c r="K133" s="29">
        <f t="shared" si="114"/>
        <v>-252</v>
      </c>
      <c r="L133" s="29">
        <f t="shared" si="114"/>
        <v>941.41666666666697</v>
      </c>
      <c r="M133" s="29">
        <f t="shared" si="114"/>
        <v>-31636.083333333336</v>
      </c>
    </row>
    <row r="134" spans="1:21" x14ac:dyDescent="0.2">
      <c r="A134" s="16">
        <v>42552</v>
      </c>
      <c r="B134" s="29">
        <f t="shared" ref="B134:M134" si="115">B115-B$119</f>
        <v>25.333333333333371</v>
      </c>
      <c r="C134" s="29">
        <f t="shared" si="115"/>
        <v>269.41666666666652</v>
      </c>
      <c r="D134" s="29">
        <f t="shared" si="115"/>
        <v>12314.25</v>
      </c>
      <c r="E134" s="29">
        <f t="shared" si="115"/>
        <v>99264.75</v>
      </c>
      <c r="F134" s="29">
        <f t="shared" si="115"/>
        <v>-74.75</v>
      </c>
      <c r="G134" s="29">
        <f t="shared" si="115"/>
        <v>53879</v>
      </c>
      <c r="H134" s="29">
        <f t="shared" si="115"/>
        <v>54323.333333333328</v>
      </c>
      <c r="I134" s="29">
        <f t="shared" si="115"/>
        <v>-362.41666666666652</v>
      </c>
      <c r="J134" s="29">
        <f t="shared" si="115"/>
        <v>-1204.5</v>
      </c>
      <c r="K134" s="29">
        <f t="shared" si="115"/>
        <v>-432</v>
      </c>
      <c r="L134" s="29">
        <f t="shared" si="115"/>
        <v>122.41666666666697</v>
      </c>
      <c r="M134" s="29">
        <f t="shared" si="115"/>
        <v>-32565.083333333336</v>
      </c>
    </row>
    <row r="135" spans="1:21" x14ac:dyDescent="0.2">
      <c r="A135" s="16">
        <v>42583</v>
      </c>
      <c r="B135" s="29">
        <f t="shared" ref="B135:M135" si="116">B116-B$119</f>
        <v>-70.666666666666629</v>
      </c>
      <c r="C135" s="29">
        <f t="shared" si="116"/>
        <v>624.41666666666652</v>
      </c>
      <c r="D135" s="29">
        <f t="shared" si="116"/>
        <v>-5144.75</v>
      </c>
      <c r="E135" s="29">
        <f t="shared" si="116"/>
        <v>-10736.25</v>
      </c>
      <c r="F135" s="29">
        <f t="shared" si="116"/>
        <v>-46.75</v>
      </c>
      <c r="G135" s="29">
        <f t="shared" si="116"/>
        <v>-18185</v>
      </c>
      <c r="H135" s="29">
        <f t="shared" si="116"/>
        <v>68445.333333333328</v>
      </c>
      <c r="I135" s="29">
        <f t="shared" si="116"/>
        <v>54.583333333333485</v>
      </c>
      <c r="J135" s="29">
        <f t="shared" si="116"/>
        <v>-1161.5</v>
      </c>
      <c r="K135" s="29">
        <f t="shared" si="116"/>
        <v>-439</v>
      </c>
      <c r="L135" s="29">
        <f t="shared" si="116"/>
        <v>348.41666666666697</v>
      </c>
      <c r="M135" s="29">
        <f t="shared" si="116"/>
        <v>-25900.083333333336</v>
      </c>
    </row>
    <row r="136" spans="1:21" x14ac:dyDescent="0.2">
      <c r="A136" s="16">
        <v>42614</v>
      </c>
      <c r="B136" s="29">
        <f t="shared" ref="B136:M136" si="117">B117-B$119</f>
        <v>37.333333333333371</v>
      </c>
      <c r="C136" s="29">
        <f t="shared" si="117"/>
        <v>1011.4166666666665</v>
      </c>
      <c r="D136" s="29">
        <f t="shared" si="117"/>
        <v>12136.25</v>
      </c>
      <c r="E136" s="29">
        <f t="shared" si="117"/>
        <v>-9879.25</v>
      </c>
      <c r="F136" s="29">
        <f t="shared" si="117"/>
        <v>-13.75</v>
      </c>
      <c r="G136" s="29">
        <f t="shared" si="117"/>
        <v>-16742</v>
      </c>
      <c r="H136" s="29">
        <f t="shared" si="117"/>
        <v>47423.333333333328</v>
      </c>
      <c r="I136" s="29">
        <f t="shared" si="117"/>
        <v>1651.5833333333335</v>
      </c>
      <c r="J136" s="29">
        <f t="shared" si="117"/>
        <v>-843.5</v>
      </c>
      <c r="K136" s="29">
        <f t="shared" si="117"/>
        <v>-177</v>
      </c>
      <c r="L136" s="29">
        <f t="shared" si="117"/>
        <v>695.41666666666697</v>
      </c>
      <c r="M136" s="29">
        <f t="shared" si="117"/>
        <v>-14854.083333333336</v>
      </c>
    </row>
    <row r="137" spans="1:21" x14ac:dyDescent="0.2">
      <c r="A137" s="15" t="s">
        <v>16</v>
      </c>
      <c r="B137" s="27">
        <f>SUM(B125:B136)</f>
        <v>4.5474735088646412E-13</v>
      </c>
      <c r="C137" s="27">
        <f t="shared" ref="C137:M137" si="118">SUM(C125:C136)</f>
        <v>-1.8189894035458565E-12</v>
      </c>
      <c r="D137" s="27">
        <f t="shared" si="118"/>
        <v>0</v>
      </c>
      <c r="E137" s="27">
        <f t="shared" si="118"/>
        <v>0</v>
      </c>
      <c r="F137" s="27">
        <f t="shared" si="118"/>
        <v>0</v>
      </c>
      <c r="G137" s="27">
        <f t="shared" si="118"/>
        <v>0</v>
      </c>
      <c r="H137" s="27">
        <f t="shared" si="118"/>
        <v>0</v>
      </c>
      <c r="I137" s="27">
        <f t="shared" si="118"/>
        <v>1.8189894035458565E-12</v>
      </c>
      <c r="J137" s="27">
        <f t="shared" si="118"/>
        <v>0</v>
      </c>
      <c r="K137" s="27">
        <f t="shared" si="118"/>
        <v>0</v>
      </c>
      <c r="L137" s="27">
        <f t="shared" si="118"/>
        <v>3.637978807091713E-12</v>
      </c>
      <c r="M137" s="27">
        <f t="shared" si="118"/>
        <v>-9.4587448984384537E-11</v>
      </c>
    </row>
    <row r="138" spans="1:21" x14ac:dyDescent="0.2">
      <c r="B138" s="24"/>
      <c r="C138" s="24"/>
      <c r="D138" s="24"/>
      <c r="E138" s="24"/>
      <c r="F138" s="24"/>
      <c r="G138" s="24"/>
      <c r="H138" s="24"/>
      <c r="I138" s="24"/>
      <c r="J138" s="24"/>
      <c r="K138" s="24"/>
      <c r="L138" s="24"/>
      <c r="M138" s="24"/>
    </row>
    <row r="139" spans="1:21" x14ac:dyDescent="0.2">
      <c r="B139" s="247" t="s">
        <v>40</v>
      </c>
      <c r="C139" s="248"/>
      <c r="D139" s="248"/>
      <c r="E139" s="248"/>
      <c r="F139" s="248"/>
      <c r="G139" s="248"/>
      <c r="H139" s="248"/>
      <c r="I139" s="248"/>
      <c r="J139" s="248"/>
      <c r="K139" s="248"/>
      <c r="L139" s="248"/>
      <c r="M139" s="248"/>
      <c r="U139" s="15">
        <v>4159.7939453125</v>
      </c>
    </row>
    <row r="140" spans="1:21" x14ac:dyDescent="0.2">
      <c r="A140" s="30" t="s">
        <v>21</v>
      </c>
      <c r="B140" s="31" t="s">
        <v>7</v>
      </c>
      <c r="C140" s="31" t="s">
        <v>8</v>
      </c>
      <c r="D140" s="31" t="s">
        <v>9</v>
      </c>
      <c r="E140" s="31" t="s">
        <v>10</v>
      </c>
      <c r="F140" s="31" t="s">
        <v>11</v>
      </c>
      <c r="G140" s="31" t="s">
        <v>19</v>
      </c>
      <c r="H140" s="32" t="s">
        <v>12</v>
      </c>
      <c r="I140" s="31" t="s">
        <v>13</v>
      </c>
      <c r="J140" s="31" t="s">
        <v>25</v>
      </c>
      <c r="K140" s="31" t="s">
        <v>14</v>
      </c>
      <c r="L140" s="31" t="s">
        <v>17</v>
      </c>
      <c r="M140" s="31" t="s">
        <v>15</v>
      </c>
      <c r="U140" s="15">
        <v>2656.0791894531249</v>
      </c>
    </row>
    <row r="141" spans="1:21" x14ac:dyDescent="0.2">
      <c r="A141" s="16">
        <v>42278</v>
      </c>
      <c r="B141" s="17"/>
      <c r="C141" s="17"/>
      <c r="D141" s="17"/>
      <c r="E141" s="17"/>
      <c r="F141" s="17"/>
      <c r="G141" s="17"/>
      <c r="H141" s="17"/>
      <c r="I141" s="17"/>
      <c r="J141" s="17"/>
      <c r="K141" s="17"/>
      <c r="L141" s="17"/>
      <c r="M141" s="17"/>
      <c r="U141" s="15">
        <v>17.5</v>
      </c>
    </row>
    <row r="142" spans="1:21" x14ac:dyDescent="0.2">
      <c r="A142" s="16">
        <v>42309</v>
      </c>
      <c r="B142" s="17">
        <f>B107-B106</f>
        <v>7</v>
      </c>
      <c r="C142" s="17">
        <f t="shared" ref="C142:M142" si="119">C107-C106</f>
        <v>37</v>
      </c>
      <c r="D142" s="17">
        <f t="shared" si="119"/>
        <v>-1428</v>
      </c>
      <c r="E142" s="17">
        <f t="shared" si="119"/>
        <v>1654</v>
      </c>
      <c r="F142" s="17">
        <f t="shared" si="119"/>
        <v>-147</v>
      </c>
      <c r="G142" s="17">
        <f t="shared" si="119"/>
        <v>-146</v>
      </c>
      <c r="H142" s="17">
        <f t="shared" si="119"/>
        <v>619</v>
      </c>
      <c r="I142" s="17">
        <f t="shared" si="119"/>
        <v>-41</v>
      </c>
      <c r="J142" s="17">
        <f t="shared" si="119"/>
        <v>-120</v>
      </c>
      <c r="K142" s="17">
        <f t="shared" si="119"/>
        <v>-659</v>
      </c>
      <c r="L142" s="17">
        <f t="shared" si="119"/>
        <v>13</v>
      </c>
      <c r="M142" s="29">
        <f t="shared" si="119"/>
        <v>-61662</v>
      </c>
      <c r="N142" s="20"/>
      <c r="U142" s="15">
        <v>1425.640654296875</v>
      </c>
    </row>
    <row r="143" spans="1:21" x14ac:dyDescent="0.2">
      <c r="A143" s="16">
        <v>42339</v>
      </c>
      <c r="B143" s="17">
        <f t="shared" ref="B143:M143" si="120">B108-B107</f>
        <v>-26</v>
      </c>
      <c r="C143" s="17">
        <f t="shared" si="120"/>
        <v>543</v>
      </c>
      <c r="D143" s="17">
        <f t="shared" si="120"/>
        <v>-2865</v>
      </c>
      <c r="E143" s="17">
        <f t="shared" si="120"/>
        <v>-387</v>
      </c>
      <c r="F143" s="17">
        <f t="shared" si="120"/>
        <v>-49</v>
      </c>
      <c r="G143" s="17">
        <f t="shared" si="120"/>
        <v>-2159</v>
      </c>
      <c r="H143" s="17">
        <f t="shared" si="120"/>
        <v>-279</v>
      </c>
      <c r="I143" s="17">
        <f t="shared" si="120"/>
        <v>-870</v>
      </c>
      <c r="J143" s="17">
        <f t="shared" si="120"/>
        <v>60</v>
      </c>
      <c r="K143" s="17">
        <f t="shared" si="120"/>
        <v>-370</v>
      </c>
      <c r="L143" s="17">
        <f t="shared" si="120"/>
        <v>-521</v>
      </c>
      <c r="M143" s="29">
        <f t="shared" si="120"/>
        <v>-31928</v>
      </c>
      <c r="N143" s="20"/>
      <c r="U143" s="15">
        <v>13.584150390625</v>
      </c>
    </row>
    <row r="144" spans="1:21" x14ac:dyDescent="0.2">
      <c r="A144" s="16">
        <v>42370</v>
      </c>
      <c r="B144" s="17">
        <f t="shared" ref="B144:M144" si="121">B109-B108</f>
        <v>79</v>
      </c>
      <c r="C144" s="17">
        <f t="shared" si="121"/>
        <v>-183</v>
      </c>
      <c r="D144" s="17">
        <f t="shared" si="121"/>
        <v>1514</v>
      </c>
      <c r="E144" s="17">
        <f t="shared" si="121"/>
        <v>1236</v>
      </c>
      <c r="F144" s="17">
        <f t="shared" si="121"/>
        <v>44</v>
      </c>
      <c r="G144" s="17">
        <f t="shared" si="121"/>
        <v>271</v>
      </c>
      <c r="H144" s="17">
        <f t="shared" si="121"/>
        <v>775</v>
      </c>
      <c r="I144" s="17">
        <f t="shared" si="121"/>
        <v>975</v>
      </c>
      <c r="J144" s="17">
        <f t="shared" si="121"/>
        <v>-1347</v>
      </c>
      <c r="K144" s="17">
        <f t="shared" si="121"/>
        <v>323</v>
      </c>
      <c r="L144" s="17">
        <f t="shared" si="121"/>
        <v>616</v>
      </c>
      <c r="M144" s="29">
        <f t="shared" si="121"/>
        <v>25</v>
      </c>
      <c r="N144" s="20"/>
      <c r="U144" s="15">
        <v>2933.262939453125</v>
      </c>
    </row>
    <row r="145" spans="1:21" x14ac:dyDescent="0.2">
      <c r="A145" s="16">
        <v>42401</v>
      </c>
      <c r="B145" s="17">
        <f t="shared" ref="B145:M145" si="122">B110-B109</f>
        <v>-70</v>
      </c>
      <c r="C145" s="17">
        <f t="shared" si="122"/>
        <v>190</v>
      </c>
      <c r="D145" s="17">
        <f t="shared" si="122"/>
        <v>5185</v>
      </c>
      <c r="E145" s="17">
        <f t="shared" si="122"/>
        <v>-4211</v>
      </c>
      <c r="F145" s="17">
        <f t="shared" si="122"/>
        <v>-11</v>
      </c>
      <c r="G145" s="17">
        <f t="shared" si="122"/>
        <v>3814</v>
      </c>
      <c r="H145" s="17">
        <f t="shared" si="122"/>
        <v>-2358</v>
      </c>
      <c r="I145" s="17">
        <f t="shared" si="122"/>
        <v>245</v>
      </c>
      <c r="J145" s="17">
        <f t="shared" si="122"/>
        <v>462</v>
      </c>
      <c r="K145" s="17">
        <f t="shared" si="122"/>
        <v>8</v>
      </c>
      <c r="L145" s="17">
        <f t="shared" si="122"/>
        <v>41</v>
      </c>
      <c r="M145" s="29">
        <f t="shared" si="122"/>
        <v>-5285</v>
      </c>
      <c r="N145" s="20"/>
      <c r="U145" s="15">
        <v>6075.106201171875</v>
      </c>
    </row>
    <row r="146" spans="1:21" x14ac:dyDescent="0.2">
      <c r="A146" s="16">
        <v>42430</v>
      </c>
      <c r="B146" s="17">
        <f t="shared" ref="B146:M146" si="123">B111-B110</f>
        <v>95</v>
      </c>
      <c r="C146" s="17">
        <f t="shared" si="123"/>
        <v>634</v>
      </c>
      <c r="D146" s="17">
        <f t="shared" si="123"/>
        <v>10147</v>
      </c>
      <c r="E146" s="17">
        <f t="shared" si="123"/>
        <v>3550</v>
      </c>
      <c r="F146" s="17">
        <f t="shared" si="123"/>
        <v>29</v>
      </c>
      <c r="G146" s="17">
        <f t="shared" si="123"/>
        <v>4041</v>
      </c>
      <c r="H146" s="17">
        <f t="shared" si="123"/>
        <v>2501</v>
      </c>
      <c r="I146" s="17">
        <f t="shared" si="123"/>
        <v>-291</v>
      </c>
      <c r="J146" s="17">
        <f t="shared" si="123"/>
        <v>1414</v>
      </c>
      <c r="K146" s="17">
        <f t="shared" si="123"/>
        <v>-108</v>
      </c>
      <c r="L146" s="17">
        <f t="shared" si="123"/>
        <v>657</v>
      </c>
      <c r="M146" s="29">
        <f t="shared" si="123"/>
        <v>-14069</v>
      </c>
      <c r="N146" s="20"/>
      <c r="U146" s="15">
        <v>277.42061523437502</v>
      </c>
    </row>
    <row r="147" spans="1:21" x14ac:dyDescent="0.2">
      <c r="A147" s="16">
        <v>42461</v>
      </c>
      <c r="B147" s="17">
        <f t="shared" ref="B147:M147" si="124">B112-B111</f>
        <v>41</v>
      </c>
      <c r="C147" s="17">
        <f t="shared" si="124"/>
        <v>451</v>
      </c>
      <c r="D147" s="17">
        <f t="shared" si="124"/>
        <v>-12264</v>
      </c>
      <c r="E147" s="17">
        <f t="shared" si="124"/>
        <v>343</v>
      </c>
      <c r="F147" s="17">
        <f t="shared" si="124"/>
        <v>10</v>
      </c>
      <c r="G147" s="17">
        <f t="shared" si="124"/>
        <v>9830</v>
      </c>
      <c r="H147" s="17">
        <f t="shared" si="124"/>
        <v>-552</v>
      </c>
      <c r="I147" s="17">
        <f t="shared" si="124"/>
        <v>-10</v>
      </c>
      <c r="J147" s="17">
        <f t="shared" si="124"/>
        <v>154</v>
      </c>
      <c r="K147" s="17">
        <f t="shared" si="124"/>
        <v>286</v>
      </c>
      <c r="L147" s="17">
        <f t="shared" si="124"/>
        <v>103</v>
      </c>
      <c r="M147" s="29">
        <f t="shared" si="124"/>
        <v>-5651</v>
      </c>
      <c r="N147" s="20"/>
      <c r="U147" s="15">
        <v>197.0810546875</v>
      </c>
    </row>
    <row r="148" spans="1:21" x14ac:dyDescent="0.2">
      <c r="A148" s="16">
        <v>42491</v>
      </c>
      <c r="B148" s="17">
        <f t="shared" ref="B148:M148" si="125">B113-B112</f>
        <v>-48</v>
      </c>
      <c r="C148" s="17">
        <f t="shared" si="125"/>
        <v>-204</v>
      </c>
      <c r="D148" s="17">
        <f t="shared" si="125"/>
        <v>6224</v>
      </c>
      <c r="E148" s="17">
        <f t="shared" si="125"/>
        <v>-669</v>
      </c>
      <c r="F148" s="17">
        <f t="shared" si="125"/>
        <v>-50</v>
      </c>
      <c r="G148" s="17">
        <f t="shared" si="125"/>
        <v>-5502</v>
      </c>
      <c r="H148" s="17">
        <f t="shared" si="125"/>
        <v>-572</v>
      </c>
      <c r="I148" s="17">
        <f t="shared" si="125"/>
        <v>55</v>
      </c>
      <c r="J148" s="17">
        <f t="shared" si="125"/>
        <v>-787</v>
      </c>
      <c r="K148" s="17">
        <f t="shared" si="125"/>
        <v>-338</v>
      </c>
      <c r="L148" s="17">
        <f t="shared" si="125"/>
        <v>583</v>
      </c>
      <c r="M148" s="29">
        <f t="shared" si="125"/>
        <v>-4854</v>
      </c>
      <c r="N148" s="20"/>
      <c r="U148" s="15">
        <v>164.003359375</v>
      </c>
    </row>
    <row r="149" spans="1:21" x14ac:dyDescent="0.2">
      <c r="A149" s="16">
        <v>42522</v>
      </c>
      <c r="B149" s="17">
        <f t="shared" ref="B149:M149" si="126">B114-B113</f>
        <v>50</v>
      </c>
      <c r="C149" s="17">
        <f t="shared" si="126"/>
        <v>-60</v>
      </c>
      <c r="D149" s="17">
        <f t="shared" si="126"/>
        <v>3668</v>
      </c>
      <c r="E149" s="17">
        <f t="shared" si="126"/>
        <v>11468</v>
      </c>
      <c r="F149" s="17">
        <f t="shared" si="126"/>
        <v>-61</v>
      </c>
      <c r="G149" s="17">
        <f t="shared" si="126"/>
        <v>7395</v>
      </c>
      <c r="H149" s="17">
        <f t="shared" si="126"/>
        <v>4672</v>
      </c>
      <c r="I149" s="17">
        <f t="shared" si="126"/>
        <v>-193</v>
      </c>
      <c r="J149" s="17">
        <f t="shared" si="126"/>
        <v>248</v>
      </c>
      <c r="K149" s="17">
        <f t="shared" si="126"/>
        <v>-216</v>
      </c>
      <c r="L149" s="17">
        <f t="shared" si="126"/>
        <v>84</v>
      </c>
      <c r="M149" s="29">
        <f t="shared" si="126"/>
        <v>-9154</v>
      </c>
      <c r="N149" s="20"/>
      <c r="U149" s="15">
        <v>3.7205468750000001</v>
      </c>
    </row>
    <row r="150" spans="1:21" x14ac:dyDescent="0.2">
      <c r="A150" s="16">
        <v>42552</v>
      </c>
      <c r="B150" s="17">
        <f t="shared" ref="B150:M150" si="127">B115-B114</f>
        <v>-53</v>
      </c>
      <c r="C150" s="17">
        <f t="shared" si="127"/>
        <v>-108</v>
      </c>
      <c r="D150" s="17">
        <f t="shared" si="127"/>
        <v>6883</v>
      </c>
      <c r="E150" s="17">
        <f t="shared" si="127"/>
        <v>97491</v>
      </c>
      <c r="F150" s="17">
        <f t="shared" si="127"/>
        <v>-2</v>
      </c>
      <c r="G150" s="17">
        <f t="shared" si="127"/>
        <v>43603</v>
      </c>
      <c r="H150" s="17">
        <f t="shared" si="127"/>
        <v>69287</v>
      </c>
      <c r="I150" s="17">
        <f t="shared" si="127"/>
        <v>-152</v>
      </c>
      <c r="J150" s="17">
        <f t="shared" si="127"/>
        <v>-1814</v>
      </c>
      <c r="K150" s="17">
        <f t="shared" si="127"/>
        <v>-180</v>
      </c>
      <c r="L150" s="17">
        <f t="shared" si="127"/>
        <v>-819</v>
      </c>
      <c r="M150" s="29">
        <f t="shared" si="127"/>
        <v>-929</v>
      </c>
      <c r="N150" s="20"/>
    </row>
    <row r="151" spans="1:21" x14ac:dyDescent="0.2">
      <c r="A151" s="16">
        <v>42583</v>
      </c>
      <c r="B151" s="17">
        <f t="shared" ref="B151:M151" si="128">B116-B115</f>
        <v>-96</v>
      </c>
      <c r="C151" s="17">
        <f t="shared" si="128"/>
        <v>355</v>
      </c>
      <c r="D151" s="17">
        <f t="shared" si="128"/>
        <v>-17459</v>
      </c>
      <c r="E151" s="17">
        <f t="shared" si="128"/>
        <v>-110001</v>
      </c>
      <c r="F151" s="17">
        <f t="shared" si="128"/>
        <v>28</v>
      </c>
      <c r="G151" s="17">
        <f t="shared" si="128"/>
        <v>-72064</v>
      </c>
      <c r="H151" s="17">
        <f t="shared" si="128"/>
        <v>14122</v>
      </c>
      <c r="I151" s="17">
        <f t="shared" si="128"/>
        <v>417</v>
      </c>
      <c r="J151" s="17">
        <f t="shared" si="128"/>
        <v>43</v>
      </c>
      <c r="K151" s="17">
        <f t="shared" si="128"/>
        <v>-7</v>
      </c>
      <c r="L151" s="17">
        <f t="shared" si="128"/>
        <v>226</v>
      </c>
      <c r="M151" s="29">
        <f t="shared" si="128"/>
        <v>6665</v>
      </c>
      <c r="N151" s="20"/>
    </row>
    <row r="152" spans="1:21" x14ac:dyDescent="0.2">
      <c r="A152" s="16">
        <v>42614</v>
      </c>
      <c r="B152" s="17">
        <f t="shared" ref="B152:M152" si="129">B117-B116</f>
        <v>108</v>
      </c>
      <c r="C152" s="17">
        <f t="shared" si="129"/>
        <v>387</v>
      </c>
      <c r="D152" s="17">
        <f t="shared" si="129"/>
        <v>17281</v>
      </c>
      <c r="E152" s="17">
        <f t="shared" si="129"/>
        <v>857</v>
      </c>
      <c r="F152" s="17">
        <f t="shared" si="129"/>
        <v>33</v>
      </c>
      <c r="G152" s="17">
        <f t="shared" si="129"/>
        <v>1443</v>
      </c>
      <c r="H152" s="17">
        <f t="shared" si="129"/>
        <v>-21022</v>
      </c>
      <c r="I152" s="17">
        <f t="shared" si="129"/>
        <v>1597</v>
      </c>
      <c r="J152" s="17">
        <f t="shared" si="129"/>
        <v>318</v>
      </c>
      <c r="K152" s="17">
        <f t="shared" si="129"/>
        <v>262</v>
      </c>
      <c r="L152" s="17">
        <f t="shared" si="129"/>
        <v>347</v>
      </c>
      <c r="M152" s="29">
        <f t="shared" si="129"/>
        <v>11046</v>
      </c>
      <c r="N152" s="20"/>
    </row>
    <row r="155" spans="1:21" ht="12.75" customHeight="1" x14ac:dyDescent="0.2">
      <c r="A155" s="247" t="s">
        <v>54</v>
      </c>
      <c r="B155" s="254"/>
      <c r="C155" s="254"/>
      <c r="D155" s="254"/>
      <c r="E155" s="254"/>
      <c r="F155" s="254"/>
      <c r="G155" s="254"/>
      <c r="H155" s="254"/>
      <c r="I155" s="254"/>
      <c r="J155" s="254"/>
      <c r="K155" s="254"/>
      <c r="L155" s="254"/>
      <c r="M155" s="254"/>
    </row>
    <row r="156" spans="1:21" x14ac:dyDescent="0.2">
      <c r="A156" s="49" t="s">
        <v>57</v>
      </c>
      <c r="B156" s="31" t="s">
        <v>7</v>
      </c>
      <c r="C156" s="31" t="s">
        <v>8</v>
      </c>
      <c r="D156" s="31" t="s">
        <v>9</v>
      </c>
      <c r="E156" s="31" t="s">
        <v>10</v>
      </c>
      <c r="F156" s="31" t="s">
        <v>11</v>
      </c>
      <c r="G156" s="31" t="s">
        <v>19</v>
      </c>
      <c r="H156" s="32" t="s">
        <v>12</v>
      </c>
      <c r="I156" s="31" t="s">
        <v>13</v>
      </c>
      <c r="J156" s="80" t="s">
        <v>25</v>
      </c>
      <c r="K156" s="31" t="s">
        <v>14</v>
      </c>
      <c r="L156" s="31" t="s">
        <v>17</v>
      </c>
      <c r="M156" s="31" t="s">
        <v>15</v>
      </c>
      <c r="N156" s="50" t="s">
        <v>56</v>
      </c>
      <c r="O156" s="45"/>
    </row>
    <row r="157" spans="1:21" x14ac:dyDescent="0.2">
      <c r="A157" s="42" t="s">
        <v>47</v>
      </c>
      <c r="B157" s="51">
        <v>1828.7103789062501</v>
      </c>
      <c r="C157" s="51">
        <v>255.6104873046875</v>
      </c>
      <c r="D157" s="51"/>
      <c r="E157" s="51">
        <v>219.88722949218749</v>
      </c>
      <c r="F157" s="51">
        <v>3.435041015625</v>
      </c>
      <c r="G157" s="51">
        <v>1761.525625</v>
      </c>
      <c r="H157" s="51">
        <v>180.68916015625001</v>
      </c>
      <c r="I157" s="51">
        <v>125.360509765625</v>
      </c>
      <c r="J157" s="51"/>
      <c r="K157" s="51"/>
      <c r="L157" s="51">
        <v>21.843390625000001</v>
      </c>
      <c r="M157" s="51"/>
      <c r="N157" s="51">
        <f t="shared" ref="N157:N164" si="130">SUM(B157:M157)</f>
        <v>4397.0618222656249</v>
      </c>
      <c r="O157" s="23">
        <f>N157/1024</f>
        <v>4.2940056858062743</v>
      </c>
    </row>
    <row r="158" spans="1:21" x14ac:dyDescent="0.2">
      <c r="A158" s="43" t="s">
        <v>48</v>
      </c>
      <c r="B158" s="51">
        <v>2359.018</v>
      </c>
      <c r="C158" s="51">
        <v>376.68700000000001</v>
      </c>
      <c r="D158" s="51"/>
      <c r="E158" s="51">
        <v>317.83100000000002</v>
      </c>
      <c r="F158" s="51">
        <v>5.3330000000000002</v>
      </c>
      <c r="G158" s="51">
        <v>759.51099999999997</v>
      </c>
      <c r="H158" s="51">
        <v>392.52600000000001</v>
      </c>
      <c r="I158" s="51">
        <v>63.571999999999996</v>
      </c>
      <c r="J158" s="51"/>
      <c r="K158" s="51">
        <v>0.38700000000000001</v>
      </c>
      <c r="L158" s="51">
        <v>29.620999999999999</v>
      </c>
      <c r="M158" s="51"/>
      <c r="N158" s="51">
        <f t="shared" si="130"/>
        <v>4304.4859999999999</v>
      </c>
      <c r="O158" s="23">
        <f t="shared" ref="O158:O164" si="131">N158/1024</f>
        <v>4.2035996093749999</v>
      </c>
    </row>
    <row r="159" spans="1:21" x14ac:dyDescent="0.2">
      <c r="A159" s="43" t="s">
        <v>49</v>
      </c>
      <c r="B159" s="51">
        <v>2082.8297632890626</v>
      </c>
      <c r="C159" s="51">
        <v>448.4706982421875</v>
      </c>
      <c r="D159" s="51"/>
      <c r="E159" s="51">
        <v>381.539158203125</v>
      </c>
      <c r="F159" s="51">
        <v>6.8242343749999996</v>
      </c>
      <c r="G159" s="51">
        <v>822.25268164062504</v>
      </c>
      <c r="H159" s="51">
        <v>768.33581738281248</v>
      </c>
      <c r="I159" s="51">
        <v>66.057981445312507</v>
      </c>
      <c r="J159" s="51"/>
      <c r="K159" s="51">
        <v>0.41019058227539063</v>
      </c>
      <c r="L159" s="51">
        <v>32.902135742187497</v>
      </c>
      <c r="M159" s="51">
        <v>2.722111328125</v>
      </c>
      <c r="N159" s="51">
        <f t="shared" si="130"/>
        <v>4612.3447722307128</v>
      </c>
      <c r="O159" s="23">
        <f t="shared" si="131"/>
        <v>4.5042429416315555</v>
      </c>
    </row>
    <row r="160" spans="1:21" x14ac:dyDescent="0.2">
      <c r="A160" s="44" t="s">
        <v>50</v>
      </c>
      <c r="B160" s="51">
        <v>1780.1082324218751</v>
      </c>
      <c r="C160" s="51">
        <v>1801.57</v>
      </c>
      <c r="D160" s="51">
        <v>6.03</v>
      </c>
      <c r="E160" s="51">
        <v>422.22720703124997</v>
      </c>
      <c r="F160" s="51">
        <v>6.4231972656250003</v>
      </c>
      <c r="G160" s="51">
        <v>898.95026074218754</v>
      </c>
      <c r="H160" s="51">
        <v>882.08933593749998</v>
      </c>
      <c r="I160" s="51">
        <v>64.431476562499995</v>
      </c>
      <c r="J160" s="51"/>
      <c r="K160" s="51">
        <v>4.6073242187500002E-2</v>
      </c>
      <c r="L160" s="51">
        <v>36.163331054687497</v>
      </c>
      <c r="M160" s="51">
        <v>2.8863720703125</v>
      </c>
      <c r="N160" s="51">
        <f t="shared" si="130"/>
        <v>5900.925486328124</v>
      </c>
      <c r="O160" s="23">
        <f t="shared" si="131"/>
        <v>5.7626225452423085</v>
      </c>
    </row>
    <row r="161" spans="1:23" x14ac:dyDescent="0.2">
      <c r="A161" s="44" t="s">
        <v>51</v>
      </c>
      <c r="B161" s="51">
        <v>2167.0134765624998</v>
      </c>
      <c r="C161" s="51">
        <v>2654.908486328125</v>
      </c>
      <c r="D161" s="51">
        <v>6.74</v>
      </c>
      <c r="E161" s="51">
        <v>515.71818359375004</v>
      </c>
      <c r="F161" s="51">
        <v>7.0876269531249996</v>
      </c>
      <c r="G161" s="51">
        <v>954.17966796874998</v>
      </c>
      <c r="H161" s="51">
        <v>1159.65796875</v>
      </c>
      <c r="I161" s="51">
        <v>63.890546874999998</v>
      </c>
      <c r="J161" s="51"/>
      <c r="K161" s="51">
        <v>0.615234375</v>
      </c>
      <c r="L161" s="51">
        <v>41.469843750000003</v>
      </c>
      <c r="M161" s="51">
        <v>3.3079492187500001</v>
      </c>
      <c r="N161" s="51">
        <f t="shared" si="130"/>
        <v>7574.5889843750001</v>
      </c>
      <c r="O161" s="23">
        <f t="shared" si="131"/>
        <v>7.397059555053711</v>
      </c>
    </row>
    <row r="162" spans="1:23" x14ac:dyDescent="0.2">
      <c r="A162" s="44" t="s">
        <v>52</v>
      </c>
      <c r="B162" s="51">
        <v>2806.56</v>
      </c>
      <c r="C162" s="51">
        <v>3597.0542089843748</v>
      </c>
      <c r="D162" s="51">
        <v>7.9962792968749996</v>
      </c>
      <c r="E162" s="51">
        <v>668.55621093750005</v>
      </c>
      <c r="F162" s="51">
        <v>9.5370605468750007</v>
      </c>
      <c r="G162" s="51">
        <v>1066.3169921875001</v>
      </c>
      <c r="H162" s="51">
        <v>1543.9236425781251</v>
      </c>
      <c r="I162" s="51">
        <v>108.343125</v>
      </c>
      <c r="J162" s="51"/>
      <c r="K162" s="51">
        <v>143.19999999999999</v>
      </c>
      <c r="L162" s="51">
        <v>44.454013671875003</v>
      </c>
      <c r="M162" s="51">
        <v>3.3409765624999999</v>
      </c>
      <c r="N162" s="51">
        <f t="shared" si="130"/>
        <v>9999.2825097656259</v>
      </c>
      <c r="O162" s="23">
        <f t="shared" si="131"/>
        <v>9.7649243259429941</v>
      </c>
    </row>
    <row r="163" spans="1:23" x14ac:dyDescent="0.2">
      <c r="A163" s="44" t="s">
        <v>53</v>
      </c>
      <c r="B163" s="51">
        <v>3268.5614688254918</v>
      </c>
      <c r="C163" s="51">
        <v>1486.062054989158</v>
      </c>
      <c r="D163" s="51">
        <v>11.422000000000001</v>
      </c>
      <c r="E163" s="51">
        <v>775.30918685094673</v>
      </c>
      <c r="F163" s="51">
        <v>8.8079055354310096</v>
      </c>
      <c r="G163" s="51">
        <v>1131.1058336851804</v>
      </c>
      <c r="H163" s="51">
        <v>2298.7438358583699</v>
      </c>
      <c r="I163" s="51">
        <v>121.28570499155356</v>
      </c>
      <c r="J163" s="51"/>
      <c r="K163" s="51">
        <v>175.490234375</v>
      </c>
      <c r="L163" s="51">
        <v>54.879029105307303</v>
      </c>
      <c r="M163" s="51">
        <v>3.3594172669090723</v>
      </c>
      <c r="N163" s="51">
        <f t="shared" si="130"/>
        <v>9335.0266714833451</v>
      </c>
      <c r="O163" s="23">
        <f t="shared" si="131"/>
        <v>9.1162369838704542</v>
      </c>
    </row>
    <row r="164" spans="1:23" x14ac:dyDescent="0.2">
      <c r="A164" s="44" t="s">
        <v>55</v>
      </c>
      <c r="B164" s="51">
        <v>3475</v>
      </c>
      <c r="C164" s="51">
        <v>2136.66015625</v>
      </c>
      <c r="D164" s="51">
        <v>13.209765624999999</v>
      </c>
      <c r="E164" s="51">
        <v>1161.8378222656249</v>
      </c>
      <c r="F164" s="51">
        <v>9.8950976562499999</v>
      </c>
      <c r="G164" s="51">
        <v>2468.4033984375001</v>
      </c>
      <c r="H164" s="51">
        <v>5265.4695996093751</v>
      </c>
      <c r="I164" s="51">
        <v>177.02448242187498</v>
      </c>
      <c r="J164" s="51"/>
      <c r="K164" s="51">
        <v>183.447265625</v>
      </c>
      <c r="L164" s="51">
        <v>89.562392578125014</v>
      </c>
      <c r="M164" s="51">
        <v>3.3659960937500002</v>
      </c>
      <c r="N164" s="51">
        <f t="shared" si="130"/>
        <v>14983.875976562502</v>
      </c>
      <c r="O164" s="23">
        <f t="shared" si="131"/>
        <v>14.632691383361818</v>
      </c>
    </row>
    <row r="165" spans="1:23" x14ac:dyDescent="0.2">
      <c r="A165" s="109" t="s">
        <v>120</v>
      </c>
      <c r="B165" s="23">
        <v>4159.7939453125</v>
      </c>
      <c r="C165" s="23">
        <v>2656.0791894531249</v>
      </c>
      <c r="D165" s="23">
        <v>17.5</v>
      </c>
      <c r="E165" s="23">
        <v>1425.640654296875</v>
      </c>
      <c r="F165" s="23">
        <v>13.584150390625</v>
      </c>
      <c r="G165" s="23">
        <v>2933.262939453125</v>
      </c>
      <c r="H165" s="23">
        <v>6075.106201171875</v>
      </c>
      <c r="I165" s="23">
        <v>277.42061523437502</v>
      </c>
      <c r="J165" s="23"/>
      <c r="K165" s="23">
        <v>197.0810546875</v>
      </c>
      <c r="L165" s="23">
        <v>164.003359375</v>
      </c>
      <c r="M165" s="51">
        <v>3.7205468750000001</v>
      </c>
      <c r="N165" s="51">
        <f t="shared" ref="N165" si="132">SUM(B165:M165)</f>
        <v>17923.192656250001</v>
      </c>
      <c r="O165" s="23">
        <f t="shared" ref="O165" si="133">N165/1024</f>
        <v>17.503117828369142</v>
      </c>
    </row>
    <row r="167" spans="1:23" ht="12.75" customHeight="1" x14ac:dyDescent="0.2">
      <c r="A167" s="252" t="s">
        <v>58</v>
      </c>
      <c r="B167" s="253"/>
      <c r="C167" s="253"/>
      <c r="D167" s="253"/>
      <c r="E167" s="253"/>
      <c r="F167" s="253"/>
      <c r="G167" s="253"/>
      <c r="H167" s="253"/>
      <c r="I167"/>
    </row>
    <row r="168" spans="1:23" x14ac:dyDescent="0.2">
      <c r="A168" s="46" t="s">
        <v>46</v>
      </c>
      <c r="B168" s="48" t="s">
        <v>7</v>
      </c>
      <c r="C168" s="48" t="s">
        <v>8</v>
      </c>
      <c r="D168" s="48" t="s">
        <v>9</v>
      </c>
      <c r="E168" s="48" t="s">
        <v>59</v>
      </c>
      <c r="F168" s="48" t="s">
        <v>11</v>
      </c>
      <c r="G168" s="48" t="s">
        <v>19</v>
      </c>
      <c r="H168" s="48" t="s">
        <v>12</v>
      </c>
      <c r="I168" s="48" t="s">
        <v>13</v>
      </c>
      <c r="J168" s="80" t="s">
        <v>25</v>
      </c>
      <c r="K168" s="81" t="s">
        <v>14</v>
      </c>
      <c r="L168" s="48" t="s">
        <v>17</v>
      </c>
      <c r="M168" s="48" t="s">
        <v>15</v>
      </c>
      <c r="N168"/>
      <c r="O168"/>
      <c r="P168"/>
      <c r="Q168"/>
      <c r="R168"/>
      <c r="S168"/>
      <c r="T168"/>
      <c r="U168"/>
      <c r="V168"/>
      <c r="W168"/>
    </row>
    <row r="169" spans="1:23" x14ac:dyDescent="0.2">
      <c r="A169" s="47" t="s">
        <v>47</v>
      </c>
      <c r="B169" s="52">
        <v>2.6576141684055352E-3</v>
      </c>
      <c r="C169" s="52">
        <v>4.2850024912805179E-2</v>
      </c>
      <c r="D169" s="52"/>
      <c r="E169" s="52">
        <v>0.16945548561694312</v>
      </c>
      <c r="F169" s="52"/>
      <c r="G169" s="52">
        <v>3.6466484818673699E-2</v>
      </c>
      <c r="H169" s="52">
        <v>0.37612140147288553</v>
      </c>
      <c r="I169" s="52">
        <v>2.2101237652255103E-2</v>
      </c>
      <c r="J169" s="52"/>
      <c r="K169" s="52">
        <v>0.20388598818796541</v>
      </c>
      <c r="L169" s="52">
        <v>0.3592377107575398</v>
      </c>
      <c r="M169" s="52"/>
      <c r="N169"/>
      <c r="O169"/>
      <c r="P169"/>
      <c r="Q169"/>
      <c r="R169"/>
      <c r="S169"/>
      <c r="T169"/>
      <c r="U169"/>
      <c r="V169"/>
      <c r="W169"/>
    </row>
    <row r="170" spans="1:23" x14ac:dyDescent="0.2">
      <c r="A170" s="47" t="s">
        <v>48</v>
      </c>
      <c r="B170" s="52">
        <v>3.0116919157454165E-3</v>
      </c>
      <c r="C170" s="52">
        <v>6.5149136577708003E-2</v>
      </c>
      <c r="D170" s="52">
        <v>0.44433094994892747</v>
      </c>
      <c r="E170" s="52">
        <v>0.12795633717404487</v>
      </c>
      <c r="F170" s="52">
        <v>0.15365489806066635</v>
      </c>
      <c r="G170" s="52">
        <v>8.0339235573892609E-2</v>
      </c>
      <c r="H170" s="52">
        <v>0.3058103975535168</v>
      </c>
      <c r="I170" s="52">
        <v>3.9931447566698966E-3</v>
      </c>
      <c r="J170" s="52"/>
      <c r="K170" s="52">
        <v>0.23837126091312438</v>
      </c>
      <c r="L170" s="52">
        <v>0.30162634959682932</v>
      </c>
      <c r="M170" s="52">
        <v>8.0167851693126846E-2</v>
      </c>
      <c r="N170"/>
      <c r="O170"/>
      <c r="P170"/>
      <c r="Q170"/>
      <c r="R170"/>
      <c r="S170"/>
      <c r="T170"/>
      <c r="U170"/>
      <c r="V170"/>
      <c r="W170"/>
    </row>
    <row r="171" spans="1:23" x14ac:dyDescent="0.2">
      <c r="A171" s="47" t="s">
        <v>49</v>
      </c>
      <c r="B171" s="52">
        <v>4.2365347001569369E-3</v>
      </c>
      <c r="C171" s="52">
        <v>4.4993735049550065E-2</v>
      </c>
      <c r="D171" s="52">
        <v>0.4325581395348837</v>
      </c>
      <c r="E171" s="52">
        <v>0.24312821204724699</v>
      </c>
      <c r="F171" s="52">
        <v>0.1547310900201323</v>
      </c>
      <c r="G171" s="52">
        <v>0.13444174335822193</v>
      </c>
      <c r="H171" s="52">
        <v>0.31578103282369291</v>
      </c>
      <c r="I171" s="52">
        <v>6.7906928177372478E-3</v>
      </c>
      <c r="J171" s="52"/>
      <c r="K171" s="52">
        <v>0.31703153988868277</v>
      </c>
      <c r="L171" s="52">
        <v>0.35940032414910861</v>
      </c>
      <c r="M171" s="52">
        <v>0.27430263839031882</v>
      </c>
      <c r="N171"/>
      <c r="O171"/>
      <c r="P171"/>
      <c r="Q171"/>
      <c r="R171"/>
      <c r="S171"/>
      <c r="T171"/>
      <c r="U171"/>
      <c r="V171"/>
      <c r="W171"/>
    </row>
    <row r="172" spans="1:23" x14ac:dyDescent="0.2">
      <c r="A172" s="47" t="s">
        <v>50</v>
      </c>
      <c r="B172" s="52">
        <v>1.804059133049361E-3</v>
      </c>
      <c r="C172" s="52">
        <v>0.14648586707410235</v>
      </c>
      <c r="D172" s="52">
        <v>0.46153846153846156</v>
      </c>
      <c r="E172" s="52">
        <v>0.25707862269766241</v>
      </c>
      <c r="F172" s="52">
        <v>0.18175937904269082</v>
      </c>
      <c r="G172" s="52">
        <v>3.7928462661984526E-2</v>
      </c>
      <c r="H172" s="52">
        <v>4.3380262737380361E-2</v>
      </c>
      <c r="I172" s="52">
        <v>1.4999808587129399E-3</v>
      </c>
      <c r="J172" s="52"/>
      <c r="K172" s="52">
        <v>0.38507605701281589</v>
      </c>
      <c r="L172" s="52">
        <v>0.13245337159253945</v>
      </c>
      <c r="M172" s="52">
        <v>0.23747127802868234</v>
      </c>
      <c r="N172"/>
      <c r="O172"/>
      <c r="P172"/>
      <c r="Q172"/>
      <c r="R172"/>
      <c r="S172"/>
      <c r="T172"/>
      <c r="U172"/>
      <c r="V172"/>
      <c r="W172"/>
    </row>
    <row r="173" spans="1:23" x14ac:dyDescent="0.2">
      <c r="A173" s="47" t="s">
        <v>51</v>
      </c>
      <c r="B173" s="52">
        <v>5.3350104639941012E-3</v>
      </c>
      <c r="C173" s="52">
        <v>0.20397167487684728</v>
      </c>
      <c r="D173" s="52">
        <v>0.45710095331214862</v>
      </c>
      <c r="E173" s="52">
        <v>0.32813815121172546</v>
      </c>
      <c r="F173" s="52">
        <v>0.18018433179723503</v>
      </c>
      <c r="G173" s="52">
        <v>4.5725031726096932E-2</v>
      </c>
      <c r="H173" s="52">
        <v>4.3854362508434164E-2</v>
      </c>
      <c r="I173" s="52">
        <v>1.9530765487696666E-2</v>
      </c>
      <c r="J173" s="52"/>
      <c r="K173" s="52">
        <v>0.35461946373889014</v>
      </c>
      <c r="L173" s="52">
        <v>0.12790491396132694</v>
      </c>
      <c r="M173" s="52">
        <v>0.32130439995204413</v>
      </c>
      <c r="N173"/>
      <c r="O173"/>
      <c r="P173"/>
      <c r="Q173"/>
      <c r="R173"/>
      <c r="S173"/>
      <c r="T173"/>
      <c r="U173"/>
      <c r="V173"/>
      <c r="W173"/>
    </row>
    <row r="174" spans="1:23" x14ac:dyDescent="0.2">
      <c r="A174" s="47" t="s">
        <v>52</v>
      </c>
      <c r="B174" s="52">
        <v>7.2200100691107143E-3</v>
      </c>
      <c r="C174" s="52">
        <v>0.20597179983411668</v>
      </c>
      <c r="D174" s="52">
        <v>0.5045189797148022</v>
      </c>
      <c r="E174" s="52">
        <v>0.37452845127096934</v>
      </c>
      <c r="F174" s="52">
        <v>0.20057361376673041</v>
      </c>
      <c r="G174" s="52">
        <v>0.17976792544861755</v>
      </c>
      <c r="H174" s="52">
        <v>5.8026532011448598E-2</v>
      </c>
      <c r="I174" s="52">
        <v>7.6260909433726798E-3</v>
      </c>
      <c r="J174" s="52"/>
      <c r="K174" s="52">
        <v>0.38641611593279718</v>
      </c>
      <c r="L174" s="52">
        <v>0.37919999999999998</v>
      </c>
      <c r="M174" s="52">
        <v>0.44425840829096597</v>
      </c>
      <c r="N174"/>
      <c r="O174"/>
      <c r="P174"/>
      <c r="Q174"/>
      <c r="R174"/>
      <c r="S174"/>
      <c r="T174"/>
      <c r="U174"/>
      <c r="V174"/>
      <c r="W174"/>
    </row>
    <row r="175" spans="1:23" x14ac:dyDescent="0.2">
      <c r="A175" s="47" t="s">
        <v>53</v>
      </c>
      <c r="B175" s="52">
        <v>1.308025876164072E-2</v>
      </c>
      <c r="C175" s="52">
        <v>0.14301525812317178</v>
      </c>
      <c r="D175" s="52">
        <v>0.46902654867256638</v>
      </c>
      <c r="E175" s="52">
        <v>0.41089104025421636</v>
      </c>
      <c r="F175" s="52">
        <v>0.21420784883720931</v>
      </c>
      <c r="G175" s="52">
        <v>0.1921027354903225</v>
      </c>
      <c r="H175" s="52">
        <v>8.1791067069328469E-2</v>
      </c>
      <c r="I175" s="52">
        <v>2.2872950029919167E-2</v>
      </c>
      <c r="J175" s="52"/>
      <c r="K175" s="52">
        <v>0.38235742604452577</v>
      </c>
      <c r="L175" s="52">
        <v>0.46317441419990257</v>
      </c>
      <c r="M175" s="52">
        <v>0.53636570770725156</v>
      </c>
      <c r="N175"/>
      <c r="O175"/>
      <c r="P175"/>
      <c r="Q175"/>
      <c r="R175"/>
      <c r="S175"/>
      <c r="T175"/>
      <c r="U175"/>
      <c r="V175"/>
      <c r="W175"/>
    </row>
    <row r="176" spans="1:23" x14ac:dyDescent="0.2">
      <c r="A176" s="47" t="s">
        <v>55</v>
      </c>
      <c r="B176" s="53">
        <v>9.3063551506343978E-3</v>
      </c>
      <c r="C176" s="53">
        <v>0.15005534433803358</v>
      </c>
      <c r="D176" s="53">
        <v>0.43352601156069365</v>
      </c>
      <c r="E176" s="53">
        <v>0.35548922384829218</v>
      </c>
      <c r="F176" s="53">
        <v>0.19592668024439919</v>
      </c>
      <c r="G176" s="53">
        <v>0.1811757891688387</v>
      </c>
      <c r="H176" s="53">
        <v>7.4258150022375985E-2</v>
      </c>
      <c r="I176" s="53">
        <v>2.2209925097333938E-2</v>
      </c>
      <c r="J176" s="53"/>
      <c r="K176" s="53">
        <v>0.3804569942411295</v>
      </c>
      <c r="L176" s="53">
        <v>0.30471387666139577</v>
      </c>
      <c r="M176" s="53">
        <v>0.66219541877383237</v>
      </c>
      <c r="N176"/>
      <c r="O176"/>
      <c r="P176"/>
      <c r="Q176"/>
      <c r="R176"/>
      <c r="S176"/>
      <c r="T176"/>
      <c r="U176"/>
      <c r="V176"/>
      <c r="W176"/>
    </row>
    <row r="177" spans="1:13" x14ac:dyDescent="0.2">
      <c r="A177" s="47" t="s">
        <v>120</v>
      </c>
      <c r="B177" s="53">
        <v>9.3063551506343978E-3</v>
      </c>
      <c r="C177" s="53">
        <v>0.15005534433803358</v>
      </c>
      <c r="D177" s="53">
        <v>0.43352601156069365</v>
      </c>
      <c r="E177" s="53">
        <v>0.35548922384829218</v>
      </c>
      <c r="F177" s="53">
        <v>0.19592668024439919</v>
      </c>
      <c r="G177" s="53">
        <v>0.1811757891688387</v>
      </c>
      <c r="H177" s="53">
        <v>7.4258150022375985E-2</v>
      </c>
      <c r="I177" s="53">
        <v>2.2209925097333938E-2</v>
      </c>
      <c r="J177" s="53"/>
      <c r="K177" s="53">
        <v>0.3804569942411295</v>
      </c>
      <c r="L177" s="53">
        <v>0.30471387666139577</v>
      </c>
      <c r="M177" s="53">
        <v>0.66219541877383237</v>
      </c>
    </row>
    <row r="178" spans="1:13" x14ac:dyDescent="0.2">
      <c r="A178"/>
      <c r="B178"/>
      <c r="C178"/>
      <c r="D178"/>
      <c r="E178"/>
      <c r="F178"/>
      <c r="G178"/>
      <c r="H178"/>
      <c r="I178"/>
    </row>
    <row r="179" spans="1:13" x14ac:dyDescent="0.2">
      <c r="A179"/>
      <c r="B179"/>
      <c r="C179"/>
      <c r="D179"/>
      <c r="E179"/>
      <c r="F179"/>
      <c r="G179"/>
      <c r="H179"/>
      <c r="I179"/>
    </row>
    <row r="180" spans="1:13" x14ac:dyDescent="0.2">
      <c r="A180" s="58" t="s">
        <v>65</v>
      </c>
      <c r="B180"/>
      <c r="C180"/>
      <c r="D180"/>
      <c r="E180"/>
      <c r="F180"/>
      <c r="G180"/>
      <c r="H180"/>
      <c r="I180"/>
    </row>
    <row r="181" spans="1:13" x14ac:dyDescent="0.2">
      <c r="A181" s="35" t="s">
        <v>21</v>
      </c>
      <c r="B181" s="35" t="s">
        <v>7</v>
      </c>
      <c r="C181" s="35" t="s">
        <v>8</v>
      </c>
      <c r="D181" s="35" t="s">
        <v>9</v>
      </c>
      <c r="E181" s="35" t="s">
        <v>59</v>
      </c>
      <c r="F181" s="35" t="s">
        <v>11</v>
      </c>
      <c r="G181" s="35" t="s">
        <v>60</v>
      </c>
      <c r="H181" s="35" t="s">
        <v>12</v>
      </c>
      <c r="I181" s="35" t="s">
        <v>13</v>
      </c>
      <c r="J181" s="35" t="s">
        <v>25</v>
      </c>
      <c r="K181" s="35" t="s">
        <v>14</v>
      </c>
      <c r="L181" s="35" t="s">
        <v>17</v>
      </c>
      <c r="M181" s="35" t="s">
        <v>15</v>
      </c>
    </row>
    <row r="182" spans="1:13" x14ac:dyDescent="0.2">
      <c r="A182" s="57">
        <v>41913</v>
      </c>
      <c r="B182" s="110">
        <v>4631</v>
      </c>
      <c r="C182" s="110">
        <v>5040</v>
      </c>
      <c r="D182" s="110">
        <v>832</v>
      </c>
      <c r="E182" s="110">
        <v>17268</v>
      </c>
      <c r="F182" s="110">
        <v>1334</v>
      </c>
      <c r="G182" s="110">
        <v>12846</v>
      </c>
      <c r="H182" s="110">
        <v>31739</v>
      </c>
      <c r="I182" s="110">
        <v>61271</v>
      </c>
      <c r="J182" s="110"/>
      <c r="K182" s="110">
        <v>2412</v>
      </c>
      <c r="L182" s="110">
        <v>3700</v>
      </c>
      <c r="M182" s="110">
        <v>8648</v>
      </c>
    </row>
    <row r="183" spans="1:13" x14ac:dyDescent="0.2">
      <c r="A183" s="57">
        <v>41944</v>
      </c>
      <c r="B183" s="110">
        <v>4554</v>
      </c>
      <c r="C183" s="110">
        <v>4440</v>
      </c>
      <c r="D183" s="110">
        <v>881</v>
      </c>
      <c r="E183" s="110">
        <v>18197</v>
      </c>
      <c r="F183" s="110">
        <v>1284</v>
      </c>
      <c r="G183" s="110">
        <v>13829</v>
      </c>
      <c r="H183" s="110">
        <v>31263</v>
      </c>
      <c r="I183" s="110">
        <v>67903</v>
      </c>
      <c r="J183" s="110"/>
      <c r="K183" s="110">
        <v>2252</v>
      </c>
      <c r="L183" s="110">
        <v>3073</v>
      </c>
      <c r="M183" s="110">
        <v>8726</v>
      </c>
    </row>
    <row r="184" spans="1:13" x14ac:dyDescent="0.2">
      <c r="A184" s="57">
        <v>41974</v>
      </c>
      <c r="B184" s="110">
        <v>4045</v>
      </c>
      <c r="C184" s="110">
        <v>4965</v>
      </c>
      <c r="D184" s="110">
        <v>743</v>
      </c>
      <c r="E184" s="110">
        <v>15685</v>
      </c>
      <c r="F184" s="110">
        <v>1191</v>
      </c>
      <c r="G184" s="110">
        <v>11427</v>
      </c>
      <c r="H184" s="110">
        <v>32330</v>
      </c>
      <c r="I184" s="110">
        <v>58478</v>
      </c>
      <c r="J184" s="110"/>
      <c r="K184" s="110">
        <v>1728</v>
      </c>
      <c r="L184" s="110">
        <v>2462</v>
      </c>
      <c r="M184" s="110">
        <v>6396</v>
      </c>
    </row>
    <row r="185" spans="1:13" x14ac:dyDescent="0.2">
      <c r="A185" s="57">
        <v>42005</v>
      </c>
      <c r="B185" s="110">
        <v>4233</v>
      </c>
      <c r="C185" s="110">
        <v>4861</v>
      </c>
      <c r="D185" s="110">
        <v>745</v>
      </c>
      <c r="E185" s="110">
        <v>16951</v>
      </c>
      <c r="F185" s="110">
        <v>1246</v>
      </c>
      <c r="G185" s="110">
        <v>11811</v>
      </c>
      <c r="H185" s="110">
        <v>45080</v>
      </c>
      <c r="I185" s="110">
        <v>64623</v>
      </c>
      <c r="J185" s="110"/>
      <c r="K185" s="110">
        <v>1992</v>
      </c>
      <c r="L185" s="110">
        <v>2637</v>
      </c>
      <c r="M185" s="110">
        <v>7673</v>
      </c>
    </row>
    <row r="186" spans="1:13" x14ac:dyDescent="0.2">
      <c r="A186" s="57">
        <v>42036</v>
      </c>
      <c r="B186" s="110">
        <v>4395</v>
      </c>
      <c r="C186" s="110">
        <v>4973</v>
      </c>
      <c r="D186" s="110">
        <v>756</v>
      </c>
      <c r="E186" s="110">
        <v>16999</v>
      </c>
      <c r="F186" s="110">
        <v>1344</v>
      </c>
      <c r="G186" s="110">
        <v>12885</v>
      </c>
      <c r="H186" s="110">
        <v>33201</v>
      </c>
      <c r="I186" s="110">
        <v>63794</v>
      </c>
      <c r="J186" s="110"/>
      <c r="K186" s="110">
        <v>2122</v>
      </c>
      <c r="L186" s="110">
        <v>2763</v>
      </c>
      <c r="M186" s="110">
        <v>8881</v>
      </c>
    </row>
    <row r="187" spans="1:13" x14ac:dyDescent="0.2">
      <c r="A187" s="57">
        <v>42064</v>
      </c>
      <c r="B187" s="110">
        <v>5092</v>
      </c>
      <c r="C187" s="110">
        <v>5778</v>
      </c>
      <c r="D187" s="110">
        <v>1122</v>
      </c>
      <c r="E187" s="110">
        <v>21249</v>
      </c>
      <c r="F187" s="110">
        <v>1394</v>
      </c>
      <c r="G187" s="110">
        <v>15883</v>
      </c>
      <c r="H187" s="110">
        <v>43643</v>
      </c>
      <c r="I187" s="110">
        <v>67453</v>
      </c>
      <c r="J187" s="110"/>
      <c r="K187" s="110">
        <v>2229</v>
      </c>
      <c r="L187" s="110">
        <v>3157</v>
      </c>
      <c r="M187" s="110">
        <v>8748</v>
      </c>
    </row>
    <row r="188" spans="1:13" x14ac:dyDescent="0.2">
      <c r="A188" s="57">
        <v>42095</v>
      </c>
      <c r="B188" s="110">
        <v>5155</v>
      </c>
      <c r="C188" s="110">
        <v>6426</v>
      </c>
      <c r="D188" s="110">
        <v>1037</v>
      </c>
      <c r="E188" s="110">
        <v>18811</v>
      </c>
      <c r="F188" s="110">
        <v>1378</v>
      </c>
      <c r="G188" s="110">
        <v>36594</v>
      </c>
      <c r="H188" s="110">
        <v>40558</v>
      </c>
      <c r="I188" s="110">
        <v>66897</v>
      </c>
      <c r="J188" s="110"/>
      <c r="K188" s="110">
        <v>2086</v>
      </c>
      <c r="L188" s="110">
        <v>3087</v>
      </c>
      <c r="M188" s="110">
        <v>8370</v>
      </c>
    </row>
    <row r="189" spans="1:13" x14ac:dyDescent="0.2">
      <c r="A189" s="57">
        <v>42125</v>
      </c>
      <c r="B189" s="110">
        <v>4952</v>
      </c>
      <c r="C189" s="110">
        <v>5944</v>
      </c>
      <c r="D189" s="110">
        <v>1026</v>
      </c>
      <c r="E189" s="110">
        <v>18171</v>
      </c>
      <c r="F189" s="110">
        <v>1594</v>
      </c>
      <c r="G189" s="110">
        <v>16932</v>
      </c>
      <c r="H189" s="110">
        <v>37919</v>
      </c>
      <c r="I189" s="110">
        <v>71737</v>
      </c>
      <c r="J189" s="110"/>
      <c r="K189" s="110">
        <v>2094</v>
      </c>
      <c r="L189" s="110">
        <v>3127</v>
      </c>
      <c r="M189" s="110">
        <v>7003</v>
      </c>
    </row>
    <row r="190" spans="1:13" x14ac:dyDescent="0.2">
      <c r="A190" s="57">
        <v>42156</v>
      </c>
      <c r="B190" s="110">
        <v>4739</v>
      </c>
      <c r="C190" s="110">
        <v>5707</v>
      </c>
      <c r="D190" s="110">
        <v>957</v>
      </c>
      <c r="E190" s="110">
        <v>15791</v>
      </c>
      <c r="F190" s="110">
        <v>1662</v>
      </c>
      <c r="G190" s="110">
        <v>13817</v>
      </c>
      <c r="H190" s="110">
        <v>30446</v>
      </c>
      <c r="I190" s="110">
        <v>62371</v>
      </c>
      <c r="J190" s="110"/>
      <c r="K190" s="110">
        <v>2692</v>
      </c>
      <c r="L190" s="110">
        <v>2915</v>
      </c>
      <c r="M190" s="110">
        <v>6181</v>
      </c>
    </row>
    <row r="191" spans="1:13" x14ac:dyDescent="0.2">
      <c r="A191" s="57">
        <v>42186</v>
      </c>
      <c r="B191" s="110">
        <v>4208</v>
      </c>
      <c r="C191" s="110">
        <v>5190</v>
      </c>
      <c r="D191" s="110">
        <v>831</v>
      </c>
      <c r="E191" s="110">
        <v>14168</v>
      </c>
      <c r="F191" s="110">
        <v>1474</v>
      </c>
      <c r="G191" s="110">
        <v>13227</v>
      </c>
      <c r="H191" s="110">
        <v>30733</v>
      </c>
      <c r="I191" s="110">
        <v>51301</v>
      </c>
      <c r="J191" s="110"/>
      <c r="K191" s="110">
        <v>3635</v>
      </c>
      <c r="L191" s="110">
        <v>2902</v>
      </c>
      <c r="M191" s="110">
        <v>5301</v>
      </c>
    </row>
    <row r="192" spans="1:13" x14ac:dyDescent="0.2">
      <c r="A192" s="57">
        <v>42217</v>
      </c>
      <c r="B192" s="110">
        <v>4297</v>
      </c>
      <c r="C192" s="110">
        <v>5634</v>
      </c>
      <c r="D192" s="110">
        <v>935</v>
      </c>
      <c r="E192" s="110">
        <v>16383</v>
      </c>
      <c r="F192" s="110">
        <v>1651</v>
      </c>
      <c r="G192" s="110">
        <v>15031</v>
      </c>
      <c r="H192" s="110">
        <v>30416</v>
      </c>
      <c r="I192" s="110">
        <v>60105</v>
      </c>
      <c r="J192" s="110"/>
      <c r="K192" s="110">
        <v>3985</v>
      </c>
      <c r="L192" s="110">
        <v>2998</v>
      </c>
      <c r="M192" s="110">
        <v>5714</v>
      </c>
    </row>
    <row r="193" spans="1:14" x14ac:dyDescent="0.2">
      <c r="A193" s="57">
        <v>42248</v>
      </c>
      <c r="B193" s="110">
        <v>4745</v>
      </c>
      <c r="C193" s="110">
        <v>6762</v>
      </c>
      <c r="D193" s="110">
        <v>1004</v>
      </c>
      <c r="E193" s="110">
        <v>16415</v>
      </c>
      <c r="F193" s="110">
        <v>1795</v>
      </c>
      <c r="G193" s="110">
        <v>14889</v>
      </c>
      <c r="H193" s="110">
        <v>25519</v>
      </c>
      <c r="I193" s="110">
        <v>70395</v>
      </c>
      <c r="J193" s="110"/>
      <c r="K193" s="110">
        <v>4619</v>
      </c>
      <c r="L193" s="110">
        <v>3395</v>
      </c>
      <c r="M193" s="110">
        <v>7105</v>
      </c>
    </row>
    <row r="194" spans="1:14" x14ac:dyDescent="0.2">
      <c r="A194" s="35" t="s">
        <v>64</v>
      </c>
      <c r="B194" s="110">
        <f>SUM(B182:B193)</f>
        <v>55046</v>
      </c>
      <c r="C194" s="110">
        <f t="shared" ref="C194:M194" si="134">SUM(C182:C193)</f>
        <v>65720</v>
      </c>
      <c r="D194" s="110">
        <f t="shared" si="134"/>
        <v>10869</v>
      </c>
      <c r="E194" s="110">
        <f t="shared" si="134"/>
        <v>206088</v>
      </c>
      <c r="F194" s="110">
        <f t="shared" si="134"/>
        <v>17347</v>
      </c>
      <c r="G194" s="110">
        <f t="shared" si="134"/>
        <v>189171</v>
      </c>
      <c r="H194" s="110">
        <f t="shared" si="134"/>
        <v>412847</v>
      </c>
      <c r="I194" s="110">
        <f t="shared" si="134"/>
        <v>766328</v>
      </c>
      <c r="J194" s="110">
        <f t="shared" si="134"/>
        <v>0</v>
      </c>
      <c r="K194" s="110">
        <f t="shared" si="134"/>
        <v>31846</v>
      </c>
      <c r="L194" s="110">
        <f t="shared" si="134"/>
        <v>36216</v>
      </c>
      <c r="M194" s="110">
        <f t="shared" si="134"/>
        <v>88746</v>
      </c>
    </row>
    <row r="195" spans="1:14" x14ac:dyDescent="0.2">
      <c r="A195" s="63" t="s">
        <v>38</v>
      </c>
      <c r="B195" s="24">
        <f>AVERAGE(B182:B193)</f>
        <v>4587.166666666667</v>
      </c>
      <c r="C195" s="24">
        <f t="shared" ref="C195:M195" si="135">AVERAGE(C182:C193)</f>
        <v>5476.666666666667</v>
      </c>
      <c r="D195" s="24">
        <f t="shared" si="135"/>
        <v>905.75</v>
      </c>
      <c r="E195" s="24">
        <f t="shared" si="135"/>
        <v>17174</v>
      </c>
      <c r="F195" s="24">
        <f t="shared" si="135"/>
        <v>1445.5833333333333</v>
      </c>
      <c r="G195" s="24">
        <f t="shared" si="135"/>
        <v>15764.25</v>
      </c>
      <c r="H195" s="24">
        <f t="shared" si="135"/>
        <v>34403.916666666664</v>
      </c>
      <c r="I195" s="24">
        <f t="shared" si="135"/>
        <v>63860.666666666664</v>
      </c>
      <c r="J195" s="24"/>
      <c r="K195" s="24">
        <f t="shared" si="135"/>
        <v>2653.8333333333335</v>
      </c>
      <c r="L195" s="24">
        <f t="shared" si="135"/>
        <v>3018</v>
      </c>
      <c r="M195" s="24">
        <f t="shared" si="135"/>
        <v>7395.5</v>
      </c>
    </row>
    <row r="196" spans="1:14" x14ac:dyDescent="0.2">
      <c r="A196" s="63" t="s">
        <v>140</v>
      </c>
      <c r="B196" s="15">
        <v>38903</v>
      </c>
      <c r="C196" s="15">
        <v>41371</v>
      </c>
      <c r="D196" s="15">
        <v>8640</v>
      </c>
      <c r="E196" s="15">
        <v>128457</v>
      </c>
      <c r="F196" s="15">
        <v>12048</v>
      </c>
      <c r="G196" s="15">
        <v>143345</v>
      </c>
      <c r="H196" s="15">
        <v>220035</v>
      </c>
      <c r="I196" s="15">
        <v>524620</v>
      </c>
      <c r="K196" s="15">
        <v>23530</v>
      </c>
      <c r="L196" s="15">
        <v>25158</v>
      </c>
      <c r="M196" s="10">
        <v>72917</v>
      </c>
      <c r="N196" s="59" t="s">
        <v>142</v>
      </c>
    </row>
    <row r="197" spans="1:14" x14ac:dyDescent="0.2">
      <c r="A197" s="63" t="s">
        <v>45</v>
      </c>
      <c r="B197" s="10">
        <v>35782</v>
      </c>
      <c r="C197" s="10">
        <v>20779</v>
      </c>
      <c r="D197" s="10">
        <v>6574</v>
      </c>
      <c r="E197" s="10">
        <v>141377</v>
      </c>
      <c r="F197" s="10">
        <v>7365</v>
      </c>
      <c r="G197" s="10">
        <v>103590</v>
      </c>
      <c r="H197" s="10">
        <v>232392</v>
      </c>
      <c r="I197" s="10">
        <v>505990</v>
      </c>
      <c r="J197" s="10"/>
      <c r="K197" s="10">
        <v>10766</v>
      </c>
      <c r="L197" s="10">
        <v>23399</v>
      </c>
      <c r="M197" s="10">
        <v>73954</v>
      </c>
      <c r="N197" s="59" t="s">
        <v>141</v>
      </c>
    </row>
    <row r="198" spans="1:14" x14ac:dyDescent="0.2">
      <c r="A198" s="63"/>
      <c r="B198" s="27"/>
      <c r="C198" s="27"/>
      <c r="D198" s="27"/>
      <c r="E198" s="27"/>
      <c r="F198" s="27"/>
      <c r="G198" s="10"/>
      <c r="H198" s="10"/>
      <c r="I198" s="10"/>
      <c r="J198" s="10"/>
      <c r="K198" s="10"/>
      <c r="L198" s="10"/>
    </row>
    <row r="199" spans="1:14" x14ac:dyDescent="0.2">
      <c r="B199" s="247" t="s">
        <v>66</v>
      </c>
      <c r="C199" s="248"/>
      <c r="D199" s="248"/>
      <c r="E199" s="248"/>
      <c r="F199" s="248"/>
      <c r="G199" s="248"/>
      <c r="H199" s="248"/>
      <c r="I199" s="248"/>
      <c r="J199" s="248"/>
      <c r="K199" s="248"/>
      <c r="L199" s="248"/>
      <c r="M199" s="249"/>
    </row>
    <row r="200" spans="1:14" x14ac:dyDescent="0.2">
      <c r="A200" s="15" t="s">
        <v>21</v>
      </c>
      <c r="B200" s="6" t="s">
        <v>7</v>
      </c>
      <c r="C200" s="6" t="s">
        <v>8</v>
      </c>
      <c r="D200" s="6" t="s">
        <v>9</v>
      </c>
      <c r="E200" s="6" t="s">
        <v>10</v>
      </c>
      <c r="F200" s="6" t="s">
        <v>11</v>
      </c>
      <c r="G200" s="4" t="s">
        <v>19</v>
      </c>
      <c r="H200" s="2" t="s">
        <v>12</v>
      </c>
      <c r="I200" s="4" t="s">
        <v>13</v>
      </c>
      <c r="J200" s="4"/>
      <c r="K200" s="4" t="s">
        <v>14</v>
      </c>
      <c r="L200" s="4" t="s">
        <v>17</v>
      </c>
      <c r="M200" s="4" t="s">
        <v>15</v>
      </c>
      <c r="N200" s="60"/>
    </row>
    <row r="201" spans="1:14" x14ac:dyDescent="0.2">
      <c r="A201" s="16">
        <v>42278</v>
      </c>
      <c r="B201" s="27">
        <f>B182-B$195</f>
        <v>43.83333333333303</v>
      </c>
      <c r="C201" s="27">
        <f t="shared" ref="C201:I201" si="136">C182-C$195</f>
        <v>-436.66666666666697</v>
      </c>
      <c r="D201" s="27">
        <f t="shared" si="136"/>
        <v>-73.75</v>
      </c>
      <c r="E201" s="27">
        <f t="shared" si="136"/>
        <v>94</v>
      </c>
      <c r="F201" s="27">
        <f t="shared" si="136"/>
        <v>-111.58333333333326</v>
      </c>
      <c r="G201" s="27">
        <f t="shared" si="136"/>
        <v>-2918.25</v>
      </c>
      <c r="H201" s="27">
        <f t="shared" si="136"/>
        <v>-2664.9166666666642</v>
      </c>
      <c r="I201" s="27">
        <f t="shared" si="136"/>
        <v>-2589.6666666666642</v>
      </c>
      <c r="J201" s="27"/>
      <c r="K201" s="27">
        <f t="shared" ref="K201:M212" si="137">K182-K$195</f>
        <v>-241.83333333333348</v>
      </c>
      <c r="L201" s="27">
        <f t="shared" si="137"/>
        <v>682</v>
      </c>
      <c r="M201" s="27">
        <f t="shared" si="137"/>
        <v>1252.5</v>
      </c>
      <c r="N201" s="27"/>
    </row>
    <row r="202" spans="1:14" x14ac:dyDescent="0.2">
      <c r="A202" s="16">
        <v>42309</v>
      </c>
      <c r="B202" s="27">
        <f t="shared" ref="B202:I202" si="138">B183-B$195</f>
        <v>-33.16666666666697</v>
      </c>
      <c r="C202" s="27">
        <f t="shared" si="138"/>
        <v>-1036.666666666667</v>
      </c>
      <c r="D202" s="27">
        <f t="shared" si="138"/>
        <v>-24.75</v>
      </c>
      <c r="E202" s="27">
        <f t="shared" si="138"/>
        <v>1023</v>
      </c>
      <c r="F202" s="27">
        <f t="shared" si="138"/>
        <v>-161.58333333333326</v>
      </c>
      <c r="G202" s="27">
        <f t="shared" si="138"/>
        <v>-1935.25</v>
      </c>
      <c r="H202" s="27">
        <f t="shared" si="138"/>
        <v>-3140.9166666666642</v>
      </c>
      <c r="I202" s="27">
        <f t="shared" si="138"/>
        <v>4042.3333333333358</v>
      </c>
      <c r="J202" s="27"/>
      <c r="K202" s="27">
        <f t="shared" si="137"/>
        <v>-401.83333333333348</v>
      </c>
      <c r="L202" s="27">
        <f t="shared" si="137"/>
        <v>55</v>
      </c>
      <c r="M202" s="27">
        <f t="shared" si="137"/>
        <v>1330.5</v>
      </c>
      <c r="N202" s="27"/>
    </row>
    <row r="203" spans="1:14" x14ac:dyDescent="0.2">
      <c r="A203" s="16">
        <v>42339</v>
      </c>
      <c r="B203" s="27">
        <f t="shared" ref="B203:I203" si="139">B184-B$195</f>
        <v>-542.16666666666697</v>
      </c>
      <c r="C203" s="27">
        <f t="shared" si="139"/>
        <v>-511.66666666666697</v>
      </c>
      <c r="D203" s="27">
        <f t="shared" si="139"/>
        <v>-162.75</v>
      </c>
      <c r="E203" s="27">
        <f t="shared" si="139"/>
        <v>-1489</v>
      </c>
      <c r="F203" s="27">
        <f t="shared" si="139"/>
        <v>-254.58333333333326</v>
      </c>
      <c r="G203" s="27">
        <f t="shared" si="139"/>
        <v>-4337.25</v>
      </c>
      <c r="H203" s="27">
        <f t="shared" si="139"/>
        <v>-2073.9166666666642</v>
      </c>
      <c r="I203" s="27">
        <f t="shared" si="139"/>
        <v>-5382.6666666666642</v>
      </c>
      <c r="J203" s="27"/>
      <c r="K203" s="27">
        <f t="shared" si="137"/>
        <v>-925.83333333333348</v>
      </c>
      <c r="L203" s="27">
        <f t="shared" si="137"/>
        <v>-556</v>
      </c>
      <c r="M203" s="27">
        <f t="shared" si="137"/>
        <v>-999.5</v>
      </c>
      <c r="N203" s="27"/>
    </row>
    <row r="204" spans="1:14" x14ac:dyDescent="0.2">
      <c r="A204" s="16">
        <v>42370</v>
      </c>
      <c r="B204" s="27">
        <f t="shared" ref="B204:I204" si="140">B185-B$195</f>
        <v>-354.16666666666697</v>
      </c>
      <c r="C204" s="27">
        <f t="shared" si="140"/>
        <v>-615.66666666666697</v>
      </c>
      <c r="D204" s="27">
        <f t="shared" si="140"/>
        <v>-160.75</v>
      </c>
      <c r="E204" s="27">
        <f t="shared" si="140"/>
        <v>-223</v>
      </c>
      <c r="F204" s="27">
        <f t="shared" si="140"/>
        <v>-199.58333333333326</v>
      </c>
      <c r="G204" s="27">
        <f t="shared" si="140"/>
        <v>-3953.25</v>
      </c>
      <c r="H204" s="27">
        <f t="shared" si="140"/>
        <v>10676.083333333336</v>
      </c>
      <c r="I204" s="27">
        <f t="shared" si="140"/>
        <v>762.33333333333576</v>
      </c>
      <c r="J204" s="27"/>
      <c r="K204" s="27">
        <f t="shared" si="137"/>
        <v>-661.83333333333348</v>
      </c>
      <c r="L204" s="27">
        <f t="shared" si="137"/>
        <v>-381</v>
      </c>
      <c r="M204" s="27">
        <f t="shared" si="137"/>
        <v>277.5</v>
      </c>
      <c r="N204" s="27"/>
    </row>
    <row r="205" spans="1:14" x14ac:dyDescent="0.2">
      <c r="A205" s="16">
        <v>42401</v>
      </c>
      <c r="B205" s="27">
        <f t="shared" ref="B205:I205" si="141">B186-B$195</f>
        <v>-192.16666666666697</v>
      </c>
      <c r="C205" s="27">
        <f t="shared" si="141"/>
        <v>-503.66666666666697</v>
      </c>
      <c r="D205" s="27">
        <f t="shared" si="141"/>
        <v>-149.75</v>
      </c>
      <c r="E205" s="27">
        <f t="shared" si="141"/>
        <v>-175</v>
      </c>
      <c r="F205" s="27">
        <f t="shared" si="141"/>
        <v>-101.58333333333326</v>
      </c>
      <c r="G205" s="27">
        <f t="shared" si="141"/>
        <v>-2879.25</v>
      </c>
      <c r="H205" s="27">
        <f t="shared" si="141"/>
        <v>-1202.9166666666642</v>
      </c>
      <c r="I205" s="27">
        <f t="shared" si="141"/>
        <v>-66.666666666664241</v>
      </c>
      <c r="J205" s="27"/>
      <c r="K205" s="27">
        <f t="shared" si="137"/>
        <v>-531.83333333333348</v>
      </c>
      <c r="L205" s="27">
        <f t="shared" si="137"/>
        <v>-255</v>
      </c>
      <c r="M205" s="27">
        <f t="shared" si="137"/>
        <v>1485.5</v>
      </c>
      <c r="N205" s="27"/>
    </row>
    <row r="206" spans="1:14" x14ac:dyDescent="0.2">
      <c r="A206" s="16">
        <v>42430</v>
      </c>
      <c r="B206" s="27">
        <f t="shared" ref="B206:I206" si="142">B187-B$195</f>
        <v>504.83333333333303</v>
      </c>
      <c r="C206" s="27">
        <f t="shared" si="142"/>
        <v>301.33333333333303</v>
      </c>
      <c r="D206" s="27">
        <f t="shared" si="142"/>
        <v>216.25</v>
      </c>
      <c r="E206" s="27">
        <f t="shared" si="142"/>
        <v>4075</v>
      </c>
      <c r="F206" s="27">
        <f t="shared" si="142"/>
        <v>-51.583333333333258</v>
      </c>
      <c r="G206" s="27">
        <f t="shared" si="142"/>
        <v>118.75</v>
      </c>
      <c r="H206" s="27">
        <f t="shared" si="142"/>
        <v>9239.0833333333358</v>
      </c>
      <c r="I206" s="27">
        <f t="shared" si="142"/>
        <v>3592.3333333333358</v>
      </c>
      <c r="J206" s="27"/>
      <c r="K206" s="27">
        <f t="shared" si="137"/>
        <v>-424.83333333333348</v>
      </c>
      <c r="L206" s="27">
        <f t="shared" si="137"/>
        <v>139</v>
      </c>
      <c r="M206" s="27">
        <f t="shared" si="137"/>
        <v>1352.5</v>
      </c>
      <c r="N206" s="27"/>
    </row>
    <row r="207" spans="1:14" x14ac:dyDescent="0.2">
      <c r="A207" s="16">
        <v>42461</v>
      </c>
      <c r="B207" s="27">
        <f t="shared" ref="B207:I207" si="143">B188-B$195</f>
        <v>567.83333333333303</v>
      </c>
      <c r="C207" s="27">
        <f t="shared" si="143"/>
        <v>949.33333333333303</v>
      </c>
      <c r="D207" s="27">
        <f t="shared" si="143"/>
        <v>131.25</v>
      </c>
      <c r="E207" s="27">
        <f t="shared" si="143"/>
        <v>1637</v>
      </c>
      <c r="F207" s="27">
        <f t="shared" si="143"/>
        <v>-67.583333333333258</v>
      </c>
      <c r="G207" s="27">
        <f t="shared" si="143"/>
        <v>20829.75</v>
      </c>
      <c r="H207" s="27">
        <f t="shared" si="143"/>
        <v>6154.0833333333358</v>
      </c>
      <c r="I207" s="27">
        <f t="shared" si="143"/>
        <v>3036.3333333333358</v>
      </c>
      <c r="J207" s="27"/>
      <c r="K207" s="27">
        <f t="shared" si="137"/>
        <v>-567.83333333333348</v>
      </c>
      <c r="L207" s="27">
        <f t="shared" si="137"/>
        <v>69</v>
      </c>
      <c r="M207" s="27">
        <f t="shared" si="137"/>
        <v>974.5</v>
      </c>
      <c r="N207" s="27"/>
    </row>
    <row r="208" spans="1:14" x14ac:dyDescent="0.2">
      <c r="A208" s="16">
        <v>42491</v>
      </c>
      <c r="B208" s="27">
        <f t="shared" ref="B208:I208" si="144">B189-B$195</f>
        <v>364.83333333333303</v>
      </c>
      <c r="C208" s="27">
        <f t="shared" si="144"/>
        <v>467.33333333333303</v>
      </c>
      <c r="D208" s="27">
        <f t="shared" si="144"/>
        <v>120.25</v>
      </c>
      <c r="E208" s="27">
        <f t="shared" si="144"/>
        <v>997</v>
      </c>
      <c r="F208" s="27">
        <f t="shared" si="144"/>
        <v>148.41666666666674</v>
      </c>
      <c r="G208" s="27">
        <f t="shared" si="144"/>
        <v>1167.75</v>
      </c>
      <c r="H208" s="27">
        <f t="shared" si="144"/>
        <v>3515.0833333333358</v>
      </c>
      <c r="I208" s="27">
        <f t="shared" si="144"/>
        <v>7876.3333333333358</v>
      </c>
      <c r="J208" s="27"/>
      <c r="K208" s="27">
        <f t="shared" si="137"/>
        <v>-559.83333333333348</v>
      </c>
      <c r="L208" s="27">
        <f t="shared" si="137"/>
        <v>109</v>
      </c>
      <c r="M208" s="27">
        <f t="shared" si="137"/>
        <v>-392.5</v>
      </c>
      <c r="N208" s="27"/>
    </row>
    <row r="209" spans="1:14" x14ac:dyDescent="0.2">
      <c r="A209" s="16">
        <v>42522</v>
      </c>
      <c r="B209" s="27">
        <f t="shared" ref="B209:I209" si="145">B190-B$195</f>
        <v>151.83333333333303</v>
      </c>
      <c r="C209" s="27">
        <f t="shared" si="145"/>
        <v>230.33333333333303</v>
      </c>
      <c r="D209" s="27">
        <f t="shared" si="145"/>
        <v>51.25</v>
      </c>
      <c r="E209" s="27">
        <f t="shared" si="145"/>
        <v>-1383</v>
      </c>
      <c r="F209" s="27">
        <f t="shared" si="145"/>
        <v>216.41666666666674</v>
      </c>
      <c r="G209" s="27">
        <f t="shared" si="145"/>
        <v>-1947.25</v>
      </c>
      <c r="H209" s="27">
        <f t="shared" si="145"/>
        <v>-3957.9166666666642</v>
      </c>
      <c r="I209" s="27">
        <f t="shared" si="145"/>
        <v>-1489.6666666666642</v>
      </c>
      <c r="J209" s="27"/>
      <c r="K209" s="27">
        <f t="shared" si="137"/>
        <v>38.166666666666515</v>
      </c>
      <c r="L209" s="27">
        <f t="shared" si="137"/>
        <v>-103</v>
      </c>
      <c r="M209" s="27">
        <f t="shared" si="137"/>
        <v>-1214.5</v>
      </c>
      <c r="N209" s="27"/>
    </row>
    <row r="210" spans="1:14" x14ac:dyDescent="0.2">
      <c r="A210" s="16">
        <v>42552</v>
      </c>
      <c r="B210" s="27">
        <f t="shared" ref="B210:I210" si="146">B191-B$195</f>
        <v>-379.16666666666697</v>
      </c>
      <c r="C210" s="27">
        <f t="shared" si="146"/>
        <v>-286.66666666666697</v>
      </c>
      <c r="D210" s="27">
        <f t="shared" si="146"/>
        <v>-74.75</v>
      </c>
      <c r="E210" s="27">
        <f t="shared" si="146"/>
        <v>-3006</v>
      </c>
      <c r="F210" s="27">
        <f t="shared" si="146"/>
        <v>28.416666666666742</v>
      </c>
      <c r="G210" s="27">
        <f t="shared" si="146"/>
        <v>-2537.25</v>
      </c>
      <c r="H210" s="27">
        <f t="shared" si="146"/>
        <v>-3670.9166666666642</v>
      </c>
      <c r="I210" s="27">
        <f t="shared" si="146"/>
        <v>-12559.666666666664</v>
      </c>
      <c r="J210" s="27"/>
      <c r="K210" s="27">
        <f t="shared" si="137"/>
        <v>981.16666666666652</v>
      </c>
      <c r="L210" s="27">
        <f t="shared" si="137"/>
        <v>-116</v>
      </c>
      <c r="M210" s="27">
        <f t="shared" si="137"/>
        <v>-2094.5</v>
      </c>
      <c r="N210" s="27"/>
    </row>
    <row r="211" spans="1:14" x14ac:dyDescent="0.2">
      <c r="A211" s="16">
        <v>42583</v>
      </c>
      <c r="B211" s="27">
        <f t="shared" ref="B211:I211" si="147">B192-B$195</f>
        <v>-290.16666666666697</v>
      </c>
      <c r="C211" s="27">
        <f t="shared" si="147"/>
        <v>157.33333333333303</v>
      </c>
      <c r="D211" s="27">
        <f t="shared" si="147"/>
        <v>29.25</v>
      </c>
      <c r="E211" s="27">
        <f t="shared" si="147"/>
        <v>-791</v>
      </c>
      <c r="F211" s="27">
        <f t="shared" si="147"/>
        <v>205.41666666666674</v>
      </c>
      <c r="G211" s="27">
        <f t="shared" si="147"/>
        <v>-733.25</v>
      </c>
      <c r="H211" s="27">
        <f t="shared" si="147"/>
        <v>-3987.9166666666642</v>
      </c>
      <c r="I211" s="27">
        <f t="shared" si="147"/>
        <v>-3755.6666666666642</v>
      </c>
      <c r="J211" s="27"/>
      <c r="K211" s="27">
        <f t="shared" si="137"/>
        <v>1331.1666666666665</v>
      </c>
      <c r="L211" s="27">
        <f t="shared" si="137"/>
        <v>-20</v>
      </c>
      <c r="M211" s="27">
        <f t="shared" si="137"/>
        <v>-1681.5</v>
      </c>
      <c r="N211" s="27"/>
    </row>
    <row r="212" spans="1:14" x14ac:dyDescent="0.2">
      <c r="A212" s="16">
        <v>42614</v>
      </c>
      <c r="B212" s="27">
        <f t="shared" ref="B212:I212" si="148">B193-B$195</f>
        <v>157.83333333333303</v>
      </c>
      <c r="C212" s="27">
        <f t="shared" si="148"/>
        <v>1285.333333333333</v>
      </c>
      <c r="D212" s="27">
        <f t="shared" si="148"/>
        <v>98.25</v>
      </c>
      <c r="E212" s="27">
        <f t="shared" si="148"/>
        <v>-759</v>
      </c>
      <c r="F212" s="27">
        <f t="shared" si="148"/>
        <v>349.41666666666674</v>
      </c>
      <c r="G212" s="27">
        <f t="shared" si="148"/>
        <v>-875.25</v>
      </c>
      <c r="H212" s="27">
        <f t="shared" si="148"/>
        <v>-8884.9166666666642</v>
      </c>
      <c r="I212" s="27">
        <f t="shared" si="148"/>
        <v>6534.3333333333358</v>
      </c>
      <c r="J212" s="27"/>
      <c r="K212" s="27">
        <f t="shared" si="137"/>
        <v>1965.1666666666665</v>
      </c>
      <c r="L212" s="27">
        <f t="shared" si="137"/>
        <v>377</v>
      </c>
      <c r="M212" s="27">
        <f t="shared" si="137"/>
        <v>-290.5</v>
      </c>
      <c r="N212" s="27"/>
    </row>
    <row r="213" spans="1:14" x14ac:dyDescent="0.2">
      <c r="A213" s="15" t="s">
        <v>16</v>
      </c>
      <c r="B213" s="27">
        <f>SUM(B201:B212)</f>
        <v>-3.637978807091713E-12</v>
      </c>
      <c r="C213" s="27">
        <f t="shared" ref="C213:M213" si="149">SUM(C201:C212)</f>
        <v>-3.637978807091713E-12</v>
      </c>
      <c r="D213" s="27">
        <f t="shared" si="149"/>
        <v>0</v>
      </c>
      <c r="E213" s="27">
        <f t="shared" si="149"/>
        <v>0</v>
      </c>
      <c r="F213" s="27">
        <f t="shared" si="149"/>
        <v>9.0949470177292824E-13</v>
      </c>
      <c r="G213" s="27">
        <f t="shared" si="149"/>
        <v>0</v>
      </c>
      <c r="H213" s="27">
        <f t="shared" si="149"/>
        <v>2.9103830456733704E-11</v>
      </c>
      <c r="I213" s="27">
        <f t="shared" si="149"/>
        <v>2.9103830456733704E-11</v>
      </c>
      <c r="J213" s="27"/>
      <c r="K213" s="27">
        <f t="shared" si="149"/>
        <v>-2.2737367544323206E-12</v>
      </c>
      <c r="L213" s="27">
        <f t="shared" si="149"/>
        <v>0</v>
      </c>
      <c r="M213" s="27">
        <f t="shared" si="149"/>
        <v>0</v>
      </c>
      <c r="N213" s="27"/>
    </row>
    <row r="214" spans="1:14" x14ac:dyDescent="0.2">
      <c r="B214" s="27"/>
      <c r="C214" s="27"/>
      <c r="D214" s="27"/>
      <c r="E214" s="27"/>
      <c r="F214" s="27"/>
      <c r="G214" s="27"/>
      <c r="H214" s="27"/>
      <c r="I214" s="27"/>
      <c r="J214" s="27"/>
      <c r="K214" s="27"/>
      <c r="L214" s="27"/>
      <c r="M214" s="27"/>
    </row>
    <row r="215" spans="1:14" x14ac:dyDescent="0.2">
      <c r="B215" s="250" t="s">
        <v>67</v>
      </c>
      <c r="C215" s="251"/>
      <c r="D215" s="251"/>
      <c r="E215" s="251"/>
      <c r="F215" s="251"/>
      <c r="G215" s="251"/>
      <c r="H215" s="251"/>
      <c r="I215" s="251"/>
      <c r="J215" s="251"/>
      <c r="K215" s="251"/>
      <c r="L215" s="251"/>
      <c r="M215" s="251"/>
    </row>
    <row r="216" spans="1:14" x14ac:dyDescent="0.2">
      <c r="A216" s="30" t="s">
        <v>21</v>
      </c>
      <c r="B216" s="61" t="s">
        <v>7</v>
      </c>
      <c r="C216" s="61" t="s">
        <v>8</v>
      </c>
      <c r="D216" s="61" t="s">
        <v>9</v>
      </c>
      <c r="E216" s="61" t="s">
        <v>10</v>
      </c>
      <c r="F216" s="61" t="s">
        <v>11</v>
      </c>
      <c r="G216" s="61" t="s">
        <v>19</v>
      </c>
      <c r="H216" s="62" t="s">
        <v>12</v>
      </c>
      <c r="I216" s="61" t="s">
        <v>13</v>
      </c>
      <c r="J216" s="82" t="s">
        <v>25</v>
      </c>
      <c r="K216" s="61" t="s">
        <v>14</v>
      </c>
      <c r="L216" s="61" t="s">
        <v>17</v>
      </c>
      <c r="M216" s="61" t="s">
        <v>15</v>
      </c>
      <c r="N216" s="27"/>
    </row>
    <row r="217" spans="1:14" x14ac:dyDescent="0.2">
      <c r="A217" s="16">
        <v>42278</v>
      </c>
      <c r="B217" s="27"/>
      <c r="C217" s="27"/>
      <c r="D217" s="27"/>
      <c r="E217" s="27"/>
      <c r="F217" s="27"/>
      <c r="G217" s="27"/>
      <c r="H217" s="27"/>
      <c r="I217" s="27"/>
      <c r="J217" s="27"/>
      <c r="K217" s="27"/>
      <c r="L217" s="27"/>
      <c r="M217" s="27"/>
      <c r="N217" s="27"/>
    </row>
    <row r="218" spans="1:14" x14ac:dyDescent="0.2">
      <c r="A218" s="16">
        <v>42309</v>
      </c>
      <c r="B218" s="27">
        <f>B183-B182</f>
        <v>-77</v>
      </c>
      <c r="C218" s="27">
        <f t="shared" ref="C218:I218" si="150">C183-C182</f>
        <v>-600</v>
      </c>
      <c r="D218" s="27">
        <f t="shared" si="150"/>
        <v>49</v>
      </c>
      <c r="E218" s="27">
        <f t="shared" si="150"/>
        <v>929</v>
      </c>
      <c r="F218" s="27">
        <f t="shared" si="150"/>
        <v>-50</v>
      </c>
      <c r="G218" s="27">
        <f t="shared" si="150"/>
        <v>983</v>
      </c>
      <c r="H218" s="27">
        <f t="shared" si="150"/>
        <v>-476</v>
      </c>
      <c r="I218" s="27">
        <f t="shared" si="150"/>
        <v>6632</v>
      </c>
      <c r="J218" s="27"/>
      <c r="K218" s="27">
        <f t="shared" ref="K218:M228" si="151">K183-K182</f>
        <v>-160</v>
      </c>
      <c r="L218" s="27">
        <f t="shared" si="151"/>
        <v>-627</v>
      </c>
      <c r="M218" s="27">
        <f t="shared" si="151"/>
        <v>78</v>
      </c>
      <c r="N218" s="27"/>
    </row>
    <row r="219" spans="1:14" x14ac:dyDescent="0.2">
      <c r="A219" s="16">
        <v>42339</v>
      </c>
      <c r="B219" s="27">
        <f t="shared" ref="B219:I219" si="152">B184-B183</f>
        <v>-509</v>
      </c>
      <c r="C219" s="27">
        <f t="shared" si="152"/>
        <v>525</v>
      </c>
      <c r="D219" s="27">
        <f t="shared" si="152"/>
        <v>-138</v>
      </c>
      <c r="E219" s="27">
        <f t="shared" si="152"/>
        <v>-2512</v>
      </c>
      <c r="F219" s="27">
        <f t="shared" si="152"/>
        <v>-93</v>
      </c>
      <c r="G219" s="27">
        <f t="shared" si="152"/>
        <v>-2402</v>
      </c>
      <c r="H219" s="27">
        <f t="shared" si="152"/>
        <v>1067</v>
      </c>
      <c r="I219" s="27">
        <f t="shared" si="152"/>
        <v>-9425</v>
      </c>
      <c r="J219" s="27"/>
      <c r="K219" s="27">
        <f t="shared" si="151"/>
        <v>-524</v>
      </c>
      <c r="L219" s="27">
        <f t="shared" si="151"/>
        <v>-611</v>
      </c>
      <c r="M219" s="27">
        <f t="shared" si="151"/>
        <v>-2330</v>
      </c>
      <c r="N219" s="27"/>
    </row>
    <row r="220" spans="1:14" x14ac:dyDescent="0.2">
      <c r="A220" s="16">
        <v>42370</v>
      </c>
      <c r="B220" s="27">
        <f t="shared" ref="B220:I220" si="153">B185-B184</f>
        <v>188</v>
      </c>
      <c r="C220" s="27">
        <f t="shared" si="153"/>
        <v>-104</v>
      </c>
      <c r="D220" s="27">
        <f t="shared" si="153"/>
        <v>2</v>
      </c>
      <c r="E220" s="27">
        <f t="shared" si="153"/>
        <v>1266</v>
      </c>
      <c r="F220" s="27">
        <f t="shared" si="153"/>
        <v>55</v>
      </c>
      <c r="G220" s="27">
        <f t="shared" si="153"/>
        <v>384</v>
      </c>
      <c r="H220" s="27">
        <f t="shared" si="153"/>
        <v>12750</v>
      </c>
      <c r="I220" s="27">
        <f t="shared" si="153"/>
        <v>6145</v>
      </c>
      <c r="J220" s="27"/>
      <c r="K220" s="27">
        <f t="shared" si="151"/>
        <v>264</v>
      </c>
      <c r="L220" s="27">
        <f t="shared" si="151"/>
        <v>175</v>
      </c>
      <c r="M220" s="27">
        <f t="shared" si="151"/>
        <v>1277</v>
      </c>
      <c r="N220" s="27"/>
    </row>
    <row r="221" spans="1:14" x14ac:dyDescent="0.2">
      <c r="A221" s="16">
        <v>42401</v>
      </c>
      <c r="B221" s="27">
        <f t="shared" ref="B221:I221" si="154">B186-B185</f>
        <v>162</v>
      </c>
      <c r="C221" s="27">
        <f t="shared" si="154"/>
        <v>112</v>
      </c>
      <c r="D221" s="27">
        <f t="shared" si="154"/>
        <v>11</v>
      </c>
      <c r="E221" s="27">
        <f t="shared" si="154"/>
        <v>48</v>
      </c>
      <c r="F221" s="27">
        <f t="shared" si="154"/>
        <v>98</v>
      </c>
      <c r="G221" s="27">
        <f t="shared" si="154"/>
        <v>1074</v>
      </c>
      <c r="H221" s="27">
        <f t="shared" si="154"/>
        <v>-11879</v>
      </c>
      <c r="I221" s="27">
        <f t="shared" si="154"/>
        <v>-829</v>
      </c>
      <c r="J221" s="27"/>
      <c r="K221" s="27">
        <f t="shared" si="151"/>
        <v>130</v>
      </c>
      <c r="L221" s="27">
        <f t="shared" si="151"/>
        <v>126</v>
      </c>
      <c r="M221" s="27">
        <f t="shared" si="151"/>
        <v>1208</v>
      </c>
      <c r="N221" s="27"/>
    </row>
    <row r="222" spans="1:14" x14ac:dyDescent="0.2">
      <c r="A222" s="16">
        <v>42430</v>
      </c>
      <c r="B222" s="27">
        <f t="shared" ref="B222:I222" si="155">B187-B186</f>
        <v>697</v>
      </c>
      <c r="C222" s="27">
        <f t="shared" si="155"/>
        <v>805</v>
      </c>
      <c r="D222" s="27">
        <f t="shared" si="155"/>
        <v>366</v>
      </c>
      <c r="E222" s="27">
        <f t="shared" si="155"/>
        <v>4250</v>
      </c>
      <c r="F222" s="27">
        <f t="shared" si="155"/>
        <v>50</v>
      </c>
      <c r="G222" s="27">
        <f t="shared" si="155"/>
        <v>2998</v>
      </c>
      <c r="H222" s="27">
        <f t="shared" si="155"/>
        <v>10442</v>
      </c>
      <c r="I222" s="27">
        <f t="shared" si="155"/>
        <v>3659</v>
      </c>
      <c r="J222" s="27"/>
      <c r="K222" s="27">
        <f t="shared" si="151"/>
        <v>107</v>
      </c>
      <c r="L222" s="27">
        <f t="shared" si="151"/>
        <v>394</v>
      </c>
      <c r="M222" s="27">
        <f t="shared" si="151"/>
        <v>-133</v>
      </c>
      <c r="N222" s="27"/>
    </row>
    <row r="223" spans="1:14" x14ac:dyDescent="0.2">
      <c r="A223" s="16">
        <v>42461</v>
      </c>
      <c r="B223" s="27">
        <f t="shared" ref="B223:I223" si="156">B188-B187</f>
        <v>63</v>
      </c>
      <c r="C223" s="27">
        <f t="shared" si="156"/>
        <v>648</v>
      </c>
      <c r="D223" s="27">
        <f t="shared" si="156"/>
        <v>-85</v>
      </c>
      <c r="E223" s="27">
        <f t="shared" si="156"/>
        <v>-2438</v>
      </c>
      <c r="F223" s="27">
        <f t="shared" si="156"/>
        <v>-16</v>
      </c>
      <c r="G223" s="27">
        <f t="shared" si="156"/>
        <v>20711</v>
      </c>
      <c r="H223" s="27">
        <f t="shared" si="156"/>
        <v>-3085</v>
      </c>
      <c r="I223" s="27">
        <f t="shared" si="156"/>
        <v>-556</v>
      </c>
      <c r="J223" s="27"/>
      <c r="K223" s="27">
        <f t="shared" si="151"/>
        <v>-143</v>
      </c>
      <c r="L223" s="27">
        <f t="shared" si="151"/>
        <v>-70</v>
      </c>
      <c r="M223" s="27">
        <f t="shared" si="151"/>
        <v>-378</v>
      </c>
      <c r="N223" s="27"/>
    </row>
    <row r="224" spans="1:14" x14ac:dyDescent="0.2">
      <c r="A224" s="16">
        <v>42491</v>
      </c>
      <c r="B224" s="27">
        <f t="shared" ref="B224:I224" si="157">B189-B188</f>
        <v>-203</v>
      </c>
      <c r="C224" s="27">
        <f t="shared" si="157"/>
        <v>-482</v>
      </c>
      <c r="D224" s="27">
        <f t="shared" si="157"/>
        <v>-11</v>
      </c>
      <c r="E224" s="27">
        <f t="shared" si="157"/>
        <v>-640</v>
      </c>
      <c r="F224" s="27">
        <f t="shared" si="157"/>
        <v>216</v>
      </c>
      <c r="G224" s="27">
        <f t="shared" si="157"/>
        <v>-19662</v>
      </c>
      <c r="H224" s="27">
        <f t="shared" si="157"/>
        <v>-2639</v>
      </c>
      <c r="I224" s="27">
        <f t="shared" si="157"/>
        <v>4840</v>
      </c>
      <c r="J224" s="27"/>
      <c r="K224" s="27">
        <f t="shared" si="151"/>
        <v>8</v>
      </c>
      <c r="L224" s="27">
        <f t="shared" si="151"/>
        <v>40</v>
      </c>
      <c r="M224" s="27">
        <f t="shared" si="151"/>
        <v>-1367</v>
      </c>
      <c r="N224" s="27"/>
    </row>
    <row r="225" spans="1:34" x14ac:dyDescent="0.2">
      <c r="A225" s="16">
        <v>42522</v>
      </c>
      <c r="B225" s="27">
        <f t="shared" ref="B225:I225" si="158">B190-B189</f>
        <v>-213</v>
      </c>
      <c r="C225" s="27">
        <f t="shared" si="158"/>
        <v>-237</v>
      </c>
      <c r="D225" s="27">
        <f t="shared" si="158"/>
        <v>-69</v>
      </c>
      <c r="E225" s="27">
        <f t="shared" si="158"/>
        <v>-2380</v>
      </c>
      <c r="F225" s="27">
        <f t="shared" si="158"/>
        <v>68</v>
      </c>
      <c r="G225" s="27">
        <f t="shared" si="158"/>
        <v>-3115</v>
      </c>
      <c r="H225" s="27">
        <f t="shared" si="158"/>
        <v>-7473</v>
      </c>
      <c r="I225" s="27">
        <f t="shared" si="158"/>
        <v>-9366</v>
      </c>
      <c r="J225" s="27"/>
      <c r="K225" s="27">
        <f t="shared" si="151"/>
        <v>598</v>
      </c>
      <c r="L225" s="27">
        <f t="shared" si="151"/>
        <v>-212</v>
      </c>
      <c r="M225" s="27">
        <f t="shared" si="151"/>
        <v>-822</v>
      </c>
      <c r="N225" s="27"/>
    </row>
    <row r="226" spans="1:34" x14ac:dyDescent="0.2">
      <c r="A226" s="16">
        <v>42552</v>
      </c>
      <c r="B226" s="27">
        <f t="shared" ref="B226:I226" si="159">B191-B190</f>
        <v>-531</v>
      </c>
      <c r="C226" s="27">
        <f t="shared" si="159"/>
        <v>-517</v>
      </c>
      <c r="D226" s="27">
        <f t="shared" si="159"/>
        <v>-126</v>
      </c>
      <c r="E226" s="27">
        <f t="shared" si="159"/>
        <v>-1623</v>
      </c>
      <c r="F226" s="27">
        <f t="shared" si="159"/>
        <v>-188</v>
      </c>
      <c r="G226" s="27">
        <f t="shared" si="159"/>
        <v>-590</v>
      </c>
      <c r="H226" s="27">
        <f t="shared" si="159"/>
        <v>287</v>
      </c>
      <c r="I226" s="27">
        <f t="shared" si="159"/>
        <v>-11070</v>
      </c>
      <c r="J226" s="27"/>
      <c r="K226" s="27">
        <f t="shared" si="151"/>
        <v>943</v>
      </c>
      <c r="L226" s="27">
        <f t="shared" si="151"/>
        <v>-13</v>
      </c>
      <c r="M226" s="27">
        <f t="shared" si="151"/>
        <v>-880</v>
      </c>
      <c r="N226" s="27"/>
    </row>
    <row r="227" spans="1:34" x14ac:dyDescent="0.2">
      <c r="A227" s="16">
        <v>42583</v>
      </c>
      <c r="B227" s="27">
        <f t="shared" ref="B227:I227" si="160">B192-B191</f>
        <v>89</v>
      </c>
      <c r="C227" s="27">
        <f t="shared" si="160"/>
        <v>444</v>
      </c>
      <c r="D227" s="27">
        <f t="shared" si="160"/>
        <v>104</v>
      </c>
      <c r="E227" s="27">
        <f t="shared" si="160"/>
        <v>2215</v>
      </c>
      <c r="F227" s="27">
        <f t="shared" si="160"/>
        <v>177</v>
      </c>
      <c r="G227" s="27">
        <f t="shared" si="160"/>
        <v>1804</v>
      </c>
      <c r="H227" s="27">
        <f t="shared" si="160"/>
        <v>-317</v>
      </c>
      <c r="I227" s="27">
        <f t="shared" si="160"/>
        <v>8804</v>
      </c>
      <c r="J227" s="27"/>
      <c r="K227" s="27">
        <f t="shared" si="151"/>
        <v>350</v>
      </c>
      <c r="L227" s="27">
        <f t="shared" si="151"/>
        <v>96</v>
      </c>
      <c r="M227" s="27">
        <f t="shared" si="151"/>
        <v>413</v>
      </c>
      <c r="N227" s="27"/>
    </row>
    <row r="228" spans="1:34" x14ac:dyDescent="0.2">
      <c r="A228" s="16">
        <v>42614</v>
      </c>
      <c r="B228" s="27">
        <f t="shared" ref="B228:I228" si="161">B193-B192</f>
        <v>448</v>
      </c>
      <c r="C228" s="27">
        <f t="shared" si="161"/>
        <v>1128</v>
      </c>
      <c r="D228" s="27">
        <f t="shared" si="161"/>
        <v>69</v>
      </c>
      <c r="E228" s="27">
        <f t="shared" si="161"/>
        <v>32</v>
      </c>
      <c r="F228" s="27">
        <f t="shared" si="161"/>
        <v>144</v>
      </c>
      <c r="G228" s="27">
        <f t="shared" si="161"/>
        <v>-142</v>
      </c>
      <c r="H228" s="27">
        <f t="shared" si="161"/>
        <v>-4897</v>
      </c>
      <c r="I228" s="27">
        <f t="shared" si="161"/>
        <v>10290</v>
      </c>
      <c r="J228" s="27"/>
      <c r="K228" s="27">
        <f t="shared" si="151"/>
        <v>634</v>
      </c>
      <c r="L228" s="27">
        <f t="shared" si="151"/>
        <v>397</v>
      </c>
      <c r="M228" s="27">
        <f t="shared" si="151"/>
        <v>1391</v>
      </c>
      <c r="N228" s="27"/>
    </row>
    <row r="229" spans="1:34" x14ac:dyDescent="0.2">
      <c r="A229" s="59"/>
      <c r="B229" s="27"/>
      <c r="C229" s="27"/>
      <c r="D229" s="27"/>
      <c r="E229" s="27"/>
      <c r="F229" s="27"/>
      <c r="G229" s="27"/>
      <c r="H229" s="27"/>
      <c r="I229" s="27"/>
      <c r="J229" s="27"/>
      <c r="K229" s="27"/>
      <c r="L229" s="27"/>
      <c r="M229" s="27"/>
    </row>
    <row r="230" spans="1:34" x14ac:dyDescent="0.2">
      <c r="A230" s="59"/>
    </row>
    <row r="231" spans="1:34" x14ac:dyDescent="0.2">
      <c r="A231" s="58" t="s">
        <v>71</v>
      </c>
    </row>
    <row r="232" spans="1:34" x14ac:dyDescent="0.2">
      <c r="A232" s="35"/>
      <c r="B232" s="244" t="s">
        <v>7</v>
      </c>
      <c r="C232" s="245"/>
      <c r="D232" s="246"/>
      <c r="E232" s="244" t="s">
        <v>8</v>
      </c>
      <c r="F232" s="245"/>
      <c r="G232" s="246"/>
      <c r="H232" s="244" t="s">
        <v>9</v>
      </c>
      <c r="I232" s="245"/>
      <c r="J232" s="246"/>
      <c r="K232" s="244" t="s">
        <v>59</v>
      </c>
      <c r="L232" s="245"/>
      <c r="M232" s="246"/>
      <c r="N232" s="244" t="s">
        <v>11</v>
      </c>
      <c r="O232" s="245"/>
      <c r="P232" s="246"/>
      <c r="Q232" s="244" t="s">
        <v>60</v>
      </c>
      <c r="R232" s="245"/>
      <c r="S232" s="246"/>
      <c r="T232" s="244" t="s">
        <v>12</v>
      </c>
      <c r="U232" s="245"/>
      <c r="V232" s="246"/>
      <c r="W232" s="244" t="s">
        <v>13</v>
      </c>
      <c r="X232" s="245"/>
      <c r="Y232" s="246"/>
      <c r="Z232" s="244" t="s">
        <v>14</v>
      </c>
      <c r="AA232" s="245"/>
      <c r="AB232" s="246"/>
      <c r="AC232" s="244" t="s">
        <v>17</v>
      </c>
      <c r="AD232" s="245"/>
      <c r="AE232" s="246"/>
      <c r="AF232" s="244" t="s">
        <v>15</v>
      </c>
      <c r="AG232" s="245"/>
      <c r="AH232" s="246"/>
    </row>
    <row r="233" spans="1:34" x14ac:dyDescent="0.2">
      <c r="A233" s="35" t="s">
        <v>70</v>
      </c>
      <c r="B233" s="35" t="s">
        <v>62</v>
      </c>
      <c r="C233" s="35" t="s">
        <v>63</v>
      </c>
      <c r="D233" s="35" t="s">
        <v>61</v>
      </c>
      <c r="E233" s="35" t="s">
        <v>62</v>
      </c>
      <c r="F233" s="35" t="s">
        <v>63</v>
      </c>
      <c r="G233" s="35" t="s">
        <v>61</v>
      </c>
      <c r="H233" s="35" t="s">
        <v>62</v>
      </c>
      <c r="I233" s="35" t="s">
        <v>63</v>
      </c>
      <c r="J233" s="35" t="s">
        <v>61</v>
      </c>
      <c r="K233" s="35" t="s">
        <v>62</v>
      </c>
      <c r="L233" s="35" t="s">
        <v>63</v>
      </c>
      <c r="M233" s="35" t="s">
        <v>61</v>
      </c>
      <c r="N233" s="35" t="s">
        <v>62</v>
      </c>
      <c r="O233" s="35" t="s">
        <v>63</v>
      </c>
      <c r="P233" s="35" t="s">
        <v>61</v>
      </c>
      <c r="Q233" s="35" t="s">
        <v>62</v>
      </c>
      <c r="R233" s="35" t="s">
        <v>63</v>
      </c>
      <c r="S233" s="35" t="s">
        <v>61</v>
      </c>
      <c r="T233" s="35" t="s">
        <v>62</v>
      </c>
      <c r="U233" s="35" t="s">
        <v>63</v>
      </c>
      <c r="V233" s="35" t="s">
        <v>61</v>
      </c>
      <c r="W233" s="35" t="s">
        <v>62</v>
      </c>
      <c r="X233" s="35" t="s">
        <v>63</v>
      </c>
      <c r="Y233" s="35" t="s">
        <v>61</v>
      </c>
      <c r="Z233" s="35" t="s">
        <v>62</v>
      </c>
      <c r="AA233" s="35" t="s">
        <v>63</v>
      </c>
      <c r="AB233" s="35" t="s">
        <v>61</v>
      </c>
      <c r="AC233" s="35" t="s">
        <v>62</v>
      </c>
      <c r="AD233" s="35" t="s">
        <v>63</v>
      </c>
      <c r="AE233" s="35" t="s">
        <v>61</v>
      </c>
      <c r="AF233" s="35" t="s">
        <v>62</v>
      </c>
      <c r="AG233" s="35" t="s">
        <v>63</v>
      </c>
      <c r="AH233" s="35" t="s">
        <v>61</v>
      </c>
    </row>
    <row r="234" spans="1:34" x14ac:dyDescent="0.2">
      <c r="A234" s="35" t="s">
        <v>69</v>
      </c>
      <c r="B234" s="35">
        <v>125817</v>
      </c>
      <c r="C234" s="35">
        <v>1394032</v>
      </c>
      <c r="D234" s="35">
        <v>84470</v>
      </c>
      <c r="E234" s="35"/>
      <c r="F234" s="35"/>
      <c r="G234" s="35"/>
      <c r="H234" s="35"/>
      <c r="I234" s="35"/>
      <c r="J234" s="35"/>
      <c r="K234" s="35">
        <v>141171</v>
      </c>
      <c r="L234" s="35">
        <v>1607037</v>
      </c>
      <c r="M234" s="35">
        <v>78948</v>
      </c>
      <c r="N234" s="35"/>
      <c r="O234" s="35"/>
      <c r="P234" s="35"/>
      <c r="Q234" s="35">
        <v>74193</v>
      </c>
      <c r="R234" s="35">
        <v>735937</v>
      </c>
      <c r="S234" s="35">
        <v>41991</v>
      </c>
      <c r="T234" s="35">
        <v>53574</v>
      </c>
      <c r="U234" s="35">
        <v>979938</v>
      </c>
      <c r="V234" s="35">
        <v>17740</v>
      </c>
      <c r="W234" s="35">
        <v>257646</v>
      </c>
      <c r="X234" s="35">
        <v>2285747</v>
      </c>
      <c r="Y234" s="35">
        <v>187325</v>
      </c>
      <c r="Z234" s="35">
        <v>11242</v>
      </c>
      <c r="AA234" s="35">
        <v>117277</v>
      </c>
      <c r="AB234" s="35">
        <v>7857</v>
      </c>
      <c r="AC234" s="35">
        <v>43722</v>
      </c>
      <c r="AD234" s="35">
        <v>479754</v>
      </c>
      <c r="AE234" s="35">
        <v>24748</v>
      </c>
      <c r="AF234" s="35"/>
      <c r="AG234" s="35"/>
      <c r="AH234" s="35"/>
    </row>
    <row r="235" spans="1:34" x14ac:dyDescent="0.2">
      <c r="A235" s="35" t="s">
        <v>47</v>
      </c>
      <c r="B235" s="35">
        <v>145765</v>
      </c>
      <c r="C235" s="35">
        <v>1613397</v>
      </c>
      <c r="D235" s="35">
        <v>96327</v>
      </c>
      <c r="E235" s="35">
        <v>7745</v>
      </c>
      <c r="F235" s="35">
        <v>86406</v>
      </c>
      <c r="G235" s="35">
        <v>4014</v>
      </c>
      <c r="H235" s="35"/>
      <c r="I235" s="35"/>
      <c r="J235" s="35"/>
      <c r="K235" s="35">
        <v>143781</v>
      </c>
      <c r="L235" s="35">
        <v>1636681</v>
      </c>
      <c r="M235" s="35">
        <v>82771</v>
      </c>
      <c r="N235" s="35"/>
      <c r="O235" s="35"/>
      <c r="P235" s="35"/>
      <c r="Q235" s="35">
        <v>78161</v>
      </c>
      <c r="R235" s="35">
        <v>757185</v>
      </c>
      <c r="S235" s="35">
        <v>44726</v>
      </c>
      <c r="T235" s="35">
        <v>64290</v>
      </c>
      <c r="U235" s="35">
        <v>1137682</v>
      </c>
      <c r="V235" s="35">
        <v>22482</v>
      </c>
      <c r="W235" s="35">
        <v>347349</v>
      </c>
      <c r="X235" s="35">
        <v>2710866</v>
      </c>
      <c r="Y235" s="35">
        <v>244569</v>
      </c>
      <c r="Z235" s="35">
        <v>16433</v>
      </c>
      <c r="AA235" s="35">
        <v>152974</v>
      </c>
      <c r="AB235" s="35">
        <v>11683</v>
      </c>
      <c r="AC235" s="35">
        <v>24190</v>
      </c>
      <c r="AD235" s="35">
        <v>168092</v>
      </c>
      <c r="AE235" s="35">
        <v>16844</v>
      </c>
      <c r="AF235" s="35"/>
      <c r="AG235" s="35"/>
      <c r="AH235" s="35"/>
    </row>
    <row r="236" spans="1:34" x14ac:dyDescent="0.2">
      <c r="A236" s="35" t="s">
        <v>48</v>
      </c>
      <c r="B236" s="35">
        <v>160681</v>
      </c>
      <c r="C236" s="35">
        <v>1799677</v>
      </c>
      <c r="D236" s="35">
        <v>109905</v>
      </c>
      <c r="E236" s="35">
        <v>6366</v>
      </c>
      <c r="F236" s="35">
        <v>86010</v>
      </c>
      <c r="G236" s="35">
        <v>2548</v>
      </c>
      <c r="H236" s="35">
        <v>1195</v>
      </c>
      <c r="I236" s="35">
        <v>7220</v>
      </c>
      <c r="J236" s="35">
        <v>979</v>
      </c>
      <c r="K236" s="35">
        <v>144585</v>
      </c>
      <c r="L236" s="35">
        <v>3472493</v>
      </c>
      <c r="M236" s="35">
        <v>80801</v>
      </c>
      <c r="N236" s="35">
        <v>3563</v>
      </c>
      <c r="O236" s="35">
        <v>25293</v>
      </c>
      <c r="P236" s="35">
        <v>2011</v>
      </c>
      <c r="Q236" s="35">
        <v>53247</v>
      </c>
      <c r="R236" s="35">
        <v>377739</v>
      </c>
      <c r="S236" s="35">
        <v>34902</v>
      </c>
      <c r="T236" s="35">
        <v>74206</v>
      </c>
      <c r="U236" s="35">
        <v>1298537</v>
      </c>
      <c r="V236" s="35">
        <v>29103</v>
      </c>
      <c r="W236" s="35">
        <v>440891</v>
      </c>
      <c r="X236" s="35">
        <v>3202873</v>
      </c>
      <c r="Y236" s="35">
        <v>289997</v>
      </c>
      <c r="Z236" s="35">
        <v>19070</v>
      </c>
      <c r="AA236" s="35">
        <v>161490</v>
      </c>
      <c r="AB236" s="35">
        <v>13974</v>
      </c>
      <c r="AC236" s="35">
        <v>19878</v>
      </c>
      <c r="AD236" s="35">
        <v>111178</v>
      </c>
      <c r="AE236" s="35">
        <v>14634</v>
      </c>
      <c r="AF236" s="35">
        <v>155635</v>
      </c>
      <c r="AG236" s="35">
        <v>921255</v>
      </c>
      <c r="AH236" s="35">
        <v>123204</v>
      </c>
    </row>
    <row r="237" spans="1:34" x14ac:dyDescent="0.2">
      <c r="A237" s="35" t="s">
        <v>49</v>
      </c>
      <c r="B237" s="35">
        <v>191478</v>
      </c>
      <c r="C237" s="35">
        <v>2205316</v>
      </c>
      <c r="D237" s="35">
        <v>129351</v>
      </c>
      <c r="E237" s="35">
        <v>16270</v>
      </c>
      <c r="F237" s="35">
        <v>184821</v>
      </c>
      <c r="G237" s="35">
        <v>8779</v>
      </c>
      <c r="H237" s="35">
        <v>2241</v>
      </c>
      <c r="I237" s="35">
        <v>13695</v>
      </c>
      <c r="J237" s="35">
        <v>1935</v>
      </c>
      <c r="K237" s="35">
        <v>155369</v>
      </c>
      <c r="L237" s="35">
        <v>5690078</v>
      </c>
      <c r="M237" s="35">
        <v>81529</v>
      </c>
      <c r="N237" s="35">
        <v>5044</v>
      </c>
      <c r="O237" s="35">
        <v>37090</v>
      </c>
      <c r="P237" s="35">
        <v>3477</v>
      </c>
      <c r="Q237" s="35">
        <v>35281</v>
      </c>
      <c r="R237" s="35">
        <v>251786</v>
      </c>
      <c r="S237" s="35">
        <v>23036</v>
      </c>
      <c r="T237" s="35">
        <v>87176</v>
      </c>
      <c r="U237" s="35">
        <v>1513257</v>
      </c>
      <c r="V237" s="35">
        <v>37412</v>
      </c>
      <c r="W237" s="35">
        <v>435375</v>
      </c>
      <c r="X237" s="35">
        <v>2700947</v>
      </c>
      <c r="Y237" s="35">
        <v>287305</v>
      </c>
      <c r="Z237" s="35">
        <v>18437</v>
      </c>
      <c r="AA237" s="35">
        <v>152661</v>
      </c>
      <c r="AB237" s="35">
        <v>13475</v>
      </c>
      <c r="AC237" s="35">
        <v>19897</v>
      </c>
      <c r="AD237" s="35">
        <v>103047</v>
      </c>
      <c r="AE237" s="35">
        <v>14808</v>
      </c>
      <c r="AF237" s="35">
        <v>142290</v>
      </c>
      <c r="AG237" s="35">
        <v>801448</v>
      </c>
      <c r="AH237" s="35">
        <v>117837</v>
      </c>
    </row>
    <row r="238" spans="1:34" x14ac:dyDescent="0.2">
      <c r="A238" s="35" t="s">
        <v>50</v>
      </c>
      <c r="B238" s="35">
        <v>199316</v>
      </c>
      <c r="C238" s="35">
        <v>2420483</v>
      </c>
      <c r="D238" s="35">
        <v>139685</v>
      </c>
      <c r="E238" s="35">
        <v>13772</v>
      </c>
      <c r="F238" s="35">
        <v>177994</v>
      </c>
      <c r="G238" s="35">
        <v>5236</v>
      </c>
      <c r="H238" s="35">
        <v>2504</v>
      </c>
      <c r="I238" s="35">
        <v>57720</v>
      </c>
      <c r="J238" s="35">
        <v>2093</v>
      </c>
      <c r="K238" s="35">
        <v>191134</v>
      </c>
      <c r="L238" s="35">
        <v>7011266</v>
      </c>
      <c r="M238" s="35">
        <v>108531</v>
      </c>
      <c r="N238" s="35">
        <v>4566</v>
      </c>
      <c r="O238" s="35">
        <v>143683</v>
      </c>
      <c r="P238" s="35">
        <v>3092</v>
      </c>
      <c r="Q238" s="35">
        <v>94768</v>
      </c>
      <c r="R238" s="35">
        <v>915566</v>
      </c>
      <c r="S238" s="35">
        <v>64358</v>
      </c>
      <c r="T238" s="35">
        <v>230192</v>
      </c>
      <c r="U238" s="35">
        <v>3059401</v>
      </c>
      <c r="V238" s="35">
        <v>118902</v>
      </c>
      <c r="W238" s="35">
        <v>425601</v>
      </c>
      <c r="X238" s="35">
        <v>3745528</v>
      </c>
      <c r="Y238" s="35">
        <v>287337</v>
      </c>
      <c r="Z238" s="35">
        <v>11300</v>
      </c>
      <c r="AA238" s="35">
        <v>165812</v>
      </c>
      <c r="AB238" s="35">
        <v>8349</v>
      </c>
      <c r="AC238" s="35">
        <v>25614</v>
      </c>
      <c r="AD238" s="35">
        <v>205349</v>
      </c>
      <c r="AE238" s="35">
        <v>17425</v>
      </c>
      <c r="AF238" s="35">
        <v>119831</v>
      </c>
      <c r="AG238" s="35">
        <v>714477</v>
      </c>
      <c r="AH238" s="35">
        <v>100968</v>
      </c>
    </row>
    <row r="239" spans="1:34" x14ac:dyDescent="0.2">
      <c r="A239" s="35" t="s">
        <v>51</v>
      </c>
      <c r="B239" s="35">
        <v>165200</v>
      </c>
      <c r="C239" s="35">
        <v>1743569</v>
      </c>
      <c r="D239" s="35">
        <v>106536</v>
      </c>
      <c r="E239" s="35">
        <v>13439</v>
      </c>
      <c r="F239" s="35">
        <v>124754</v>
      </c>
      <c r="G239" s="35">
        <v>7258</v>
      </c>
      <c r="H239" s="35">
        <v>5628</v>
      </c>
      <c r="I239" s="35">
        <v>108135</v>
      </c>
      <c r="J239" s="35">
        <v>4486</v>
      </c>
      <c r="K239" s="35">
        <v>214570</v>
      </c>
      <c r="L239" s="35">
        <v>7631590</v>
      </c>
      <c r="M239" s="35">
        <v>120292</v>
      </c>
      <c r="N239" s="35">
        <v>6236</v>
      </c>
      <c r="O239" s="35">
        <v>50572</v>
      </c>
      <c r="P239" s="35">
        <v>4606</v>
      </c>
      <c r="Q239" s="35">
        <v>205451</v>
      </c>
      <c r="R239" s="35">
        <v>1386094</v>
      </c>
      <c r="S239" s="35">
        <v>164546</v>
      </c>
      <c r="T239" s="35">
        <v>652612</v>
      </c>
      <c r="U239" s="35">
        <v>7811167</v>
      </c>
      <c r="V239" s="35">
        <v>343312</v>
      </c>
      <c r="W239" s="35">
        <v>536704</v>
      </c>
      <c r="X239" s="35">
        <v>3727105</v>
      </c>
      <c r="Y239" s="35">
        <v>356268</v>
      </c>
      <c r="Z239" s="35">
        <v>18181</v>
      </c>
      <c r="AA239" s="35">
        <v>103414</v>
      </c>
      <c r="AB239" s="35">
        <v>14448</v>
      </c>
      <c r="AC239" s="35">
        <v>28056</v>
      </c>
      <c r="AD239" s="35">
        <v>221636</v>
      </c>
      <c r="AE239" s="35">
        <v>19278</v>
      </c>
      <c r="AF239" s="35">
        <v>127843</v>
      </c>
      <c r="AG239" s="35">
        <v>813099</v>
      </c>
      <c r="AH239" s="35">
        <v>107713</v>
      </c>
    </row>
    <row r="240" spans="1:34" x14ac:dyDescent="0.2">
      <c r="A240" s="35" t="s">
        <v>52</v>
      </c>
      <c r="B240" s="35">
        <v>159750</v>
      </c>
      <c r="C240" s="35">
        <v>1808786</v>
      </c>
      <c r="D240" s="35">
        <v>100981</v>
      </c>
      <c r="E240" s="35">
        <v>13782</v>
      </c>
      <c r="F240" s="35">
        <v>122536</v>
      </c>
      <c r="G240" s="35">
        <v>8039</v>
      </c>
      <c r="H240" s="35">
        <v>8326</v>
      </c>
      <c r="I240" s="35">
        <v>347006</v>
      </c>
      <c r="J240" s="35">
        <v>5414</v>
      </c>
      <c r="K240" s="35">
        <v>225553</v>
      </c>
      <c r="L240" s="35">
        <v>9735100</v>
      </c>
      <c r="M240" s="35">
        <v>125907</v>
      </c>
      <c r="N240" s="35">
        <v>7576</v>
      </c>
      <c r="O240" s="35">
        <v>62644</v>
      </c>
      <c r="P240" s="35">
        <v>5560</v>
      </c>
      <c r="Q240" s="35">
        <v>127574</v>
      </c>
      <c r="R240" s="35">
        <v>958322</v>
      </c>
      <c r="S240" s="35">
        <v>89098</v>
      </c>
      <c r="T240" s="35">
        <v>605342</v>
      </c>
      <c r="U240" s="35">
        <v>7137162</v>
      </c>
      <c r="V240" s="35">
        <v>310180</v>
      </c>
      <c r="W240" s="35">
        <v>629406</v>
      </c>
      <c r="X240" s="35">
        <v>3935194</v>
      </c>
      <c r="Y240" s="35">
        <v>416514</v>
      </c>
      <c r="Z240" s="35">
        <v>17118</v>
      </c>
      <c r="AA240" s="35">
        <v>89676</v>
      </c>
      <c r="AB240" s="35">
        <v>13493</v>
      </c>
      <c r="AC240" s="35">
        <v>28531</v>
      </c>
      <c r="AD240" s="35">
        <v>206051</v>
      </c>
      <c r="AE240" s="35">
        <v>19950</v>
      </c>
      <c r="AF240" s="35">
        <v>106840</v>
      </c>
      <c r="AG240" s="35">
        <v>917822</v>
      </c>
      <c r="AH240" s="35">
        <v>87904</v>
      </c>
    </row>
    <row r="241" spans="1:34" x14ac:dyDescent="0.2">
      <c r="A241" s="35" t="s">
        <v>53</v>
      </c>
      <c r="B241" s="35">
        <v>47436</v>
      </c>
      <c r="C241" s="35">
        <v>483566</v>
      </c>
      <c r="D241" s="35">
        <v>31305</v>
      </c>
      <c r="E241" s="35">
        <v>20584</v>
      </c>
      <c r="F241" s="35">
        <v>142425</v>
      </c>
      <c r="G241" s="35">
        <v>13983</v>
      </c>
      <c r="H241" s="35">
        <v>6975</v>
      </c>
      <c r="I241" s="35">
        <v>122957</v>
      </c>
      <c r="J241" s="35">
        <v>4896</v>
      </c>
      <c r="K241" s="35">
        <v>217305</v>
      </c>
      <c r="L241" s="35">
        <v>10234228</v>
      </c>
      <c r="M241" s="35">
        <v>120646</v>
      </c>
      <c r="N241" s="35">
        <v>8071</v>
      </c>
      <c r="O241" s="35">
        <v>70567</v>
      </c>
      <c r="P241" s="35">
        <v>5858</v>
      </c>
      <c r="Q241" s="35">
        <v>119538</v>
      </c>
      <c r="R241" s="35">
        <v>744359</v>
      </c>
      <c r="S241" s="35">
        <v>86934</v>
      </c>
      <c r="T241" s="35">
        <v>466031</v>
      </c>
      <c r="U241" s="35">
        <v>5830786</v>
      </c>
      <c r="V241" s="35">
        <v>244340</v>
      </c>
      <c r="W241" s="35">
        <v>645434</v>
      </c>
      <c r="X241" s="35">
        <v>3629180</v>
      </c>
      <c r="Y241" s="35">
        <v>446833</v>
      </c>
      <c r="Z241" s="35">
        <v>18982</v>
      </c>
      <c r="AA241" s="35">
        <v>113142</v>
      </c>
      <c r="AB241" s="35">
        <v>14175</v>
      </c>
      <c r="AC241" s="35">
        <v>29876</v>
      </c>
      <c r="AD241" s="35">
        <v>200215</v>
      </c>
      <c r="AE241" s="35">
        <v>21105</v>
      </c>
      <c r="AF241" s="35">
        <v>107864</v>
      </c>
      <c r="AG241" s="35">
        <v>895322</v>
      </c>
      <c r="AH241" s="35">
        <v>90311</v>
      </c>
    </row>
    <row r="242" spans="1:34" x14ac:dyDescent="0.2">
      <c r="A242" s="35" t="s">
        <v>55</v>
      </c>
      <c r="B242" s="35">
        <v>52864</v>
      </c>
      <c r="C242" s="35">
        <v>501339</v>
      </c>
      <c r="D242" s="35">
        <v>35782</v>
      </c>
      <c r="E242" s="35">
        <v>30739</v>
      </c>
      <c r="F242" s="35">
        <v>203901</v>
      </c>
      <c r="G242" s="35">
        <v>20779</v>
      </c>
      <c r="H242" s="35">
        <v>8284</v>
      </c>
      <c r="I242" s="35">
        <v>53139</v>
      </c>
      <c r="J242" s="35">
        <v>6574</v>
      </c>
      <c r="K242" s="35">
        <v>246689</v>
      </c>
      <c r="L242" s="35">
        <v>6004302</v>
      </c>
      <c r="M242" s="35">
        <v>141377</v>
      </c>
      <c r="N242" s="35">
        <v>10494</v>
      </c>
      <c r="O242" s="35">
        <v>102909</v>
      </c>
      <c r="P242" s="35">
        <v>7365</v>
      </c>
      <c r="Q242" s="35">
        <v>140454</v>
      </c>
      <c r="R242" s="35">
        <v>865811</v>
      </c>
      <c r="S242" s="35">
        <v>103590</v>
      </c>
      <c r="T242" s="35">
        <v>443373</v>
      </c>
      <c r="U242" s="35">
        <v>5429821</v>
      </c>
      <c r="V242" s="35">
        <v>232392</v>
      </c>
      <c r="W242" s="35">
        <v>729565</v>
      </c>
      <c r="X242" s="35">
        <v>4032173</v>
      </c>
      <c r="Y242" s="35">
        <v>505990</v>
      </c>
      <c r="Z242" s="35">
        <v>14071</v>
      </c>
      <c r="AA242" s="35">
        <v>97324</v>
      </c>
      <c r="AB242" s="35">
        <v>10766</v>
      </c>
      <c r="AC242" s="35">
        <v>37165</v>
      </c>
      <c r="AD242" s="35">
        <v>270832</v>
      </c>
      <c r="AE242" s="35">
        <v>23399</v>
      </c>
      <c r="AF242" s="35">
        <v>89576</v>
      </c>
      <c r="AG242" s="35">
        <v>938136</v>
      </c>
      <c r="AH242" s="35">
        <v>73954</v>
      </c>
    </row>
    <row r="243" spans="1:34" x14ac:dyDescent="0.2">
      <c r="A243" s="35" t="s">
        <v>120</v>
      </c>
      <c r="B243" s="35">
        <v>55046</v>
      </c>
      <c r="C243" s="35">
        <v>542003</v>
      </c>
      <c r="D243" s="35">
        <v>38903</v>
      </c>
      <c r="E243" s="35">
        <v>65720</v>
      </c>
      <c r="F243" s="35">
        <v>295582</v>
      </c>
      <c r="G243" s="35">
        <v>41371</v>
      </c>
      <c r="H243" s="35">
        <v>10869</v>
      </c>
      <c r="I243" s="35">
        <v>64554</v>
      </c>
      <c r="J243" s="35">
        <v>8640</v>
      </c>
      <c r="K243" s="35">
        <v>206088</v>
      </c>
      <c r="L243" s="35">
        <v>2180301</v>
      </c>
      <c r="M243" s="35">
        <v>128457</v>
      </c>
      <c r="N243" s="35">
        <v>17347</v>
      </c>
      <c r="O243" s="35">
        <v>140576</v>
      </c>
      <c r="P243" s="35">
        <v>12048</v>
      </c>
      <c r="Q243" s="35">
        <v>189171</v>
      </c>
      <c r="R243" s="35">
        <v>1096949</v>
      </c>
      <c r="S243" s="35">
        <v>143345</v>
      </c>
      <c r="T243" s="35">
        <v>412847</v>
      </c>
      <c r="U243" s="35">
        <v>4971411</v>
      </c>
      <c r="V243" s="35">
        <v>220035</v>
      </c>
      <c r="W243" s="35">
        <v>766328</v>
      </c>
      <c r="X243" s="35">
        <v>3772779</v>
      </c>
      <c r="Y243" s="35">
        <v>524620</v>
      </c>
      <c r="Z243" s="35">
        <v>31846</v>
      </c>
      <c r="AA243" s="35">
        <v>275875</v>
      </c>
      <c r="AB243" s="35">
        <v>23530</v>
      </c>
      <c r="AC243" s="35">
        <v>36216</v>
      </c>
      <c r="AD243" s="35">
        <v>303768</v>
      </c>
      <c r="AE243" s="35">
        <v>25158</v>
      </c>
      <c r="AF243" s="35">
        <v>88746</v>
      </c>
      <c r="AG243" s="35">
        <v>893022</v>
      </c>
      <c r="AH243" s="35">
        <v>72917</v>
      </c>
    </row>
    <row r="244" spans="1:34" x14ac:dyDescent="0.2">
      <c r="A244" t="s">
        <v>64</v>
      </c>
      <c r="B244">
        <f>SUM(B234:B243)</f>
        <v>1303353</v>
      </c>
      <c r="C244">
        <f t="shared" ref="C244:AH244" si="162">SUM(C234:C243)</f>
        <v>14512168</v>
      </c>
      <c r="D244">
        <f t="shared" si="162"/>
        <v>873245</v>
      </c>
      <c r="E244">
        <f t="shared" si="162"/>
        <v>188417</v>
      </c>
      <c r="F244">
        <f t="shared" si="162"/>
        <v>1424429</v>
      </c>
      <c r="G244">
        <f t="shared" si="162"/>
        <v>112007</v>
      </c>
      <c r="H244">
        <f t="shared" si="162"/>
        <v>46022</v>
      </c>
      <c r="I244">
        <f t="shared" si="162"/>
        <v>774426</v>
      </c>
      <c r="J244">
        <f t="shared" si="162"/>
        <v>35017</v>
      </c>
      <c r="K244">
        <f t="shared" si="162"/>
        <v>1886245</v>
      </c>
      <c r="L244">
        <f t="shared" si="162"/>
        <v>55203076</v>
      </c>
      <c r="M244">
        <f t="shared" si="162"/>
        <v>1069259</v>
      </c>
      <c r="N244">
        <f t="shared" si="162"/>
        <v>62897</v>
      </c>
      <c r="O244">
        <f t="shared" si="162"/>
        <v>633334</v>
      </c>
      <c r="P244">
        <f t="shared" si="162"/>
        <v>44017</v>
      </c>
      <c r="Q244">
        <f t="shared" si="162"/>
        <v>1117838</v>
      </c>
      <c r="R244">
        <f t="shared" si="162"/>
        <v>8089748</v>
      </c>
      <c r="S244">
        <f t="shared" si="162"/>
        <v>796526</v>
      </c>
      <c r="T244">
        <f t="shared" si="162"/>
        <v>3089643</v>
      </c>
      <c r="U244">
        <f t="shared" si="162"/>
        <v>39169162</v>
      </c>
      <c r="V244">
        <f t="shared" si="162"/>
        <v>1575898</v>
      </c>
      <c r="W244">
        <f t="shared" si="162"/>
        <v>5214299</v>
      </c>
      <c r="X244">
        <f t="shared" si="162"/>
        <v>33742392</v>
      </c>
      <c r="Y244">
        <f t="shared" si="162"/>
        <v>3546758</v>
      </c>
      <c r="Z244">
        <f t="shared" si="162"/>
        <v>176680</v>
      </c>
      <c r="AA244">
        <f t="shared" si="162"/>
        <v>1429645</v>
      </c>
      <c r="AB244">
        <f t="shared" si="162"/>
        <v>131750</v>
      </c>
      <c r="AC244">
        <f t="shared" si="162"/>
        <v>293145</v>
      </c>
      <c r="AD244">
        <f t="shared" si="162"/>
        <v>2269922</v>
      </c>
      <c r="AE244">
        <f t="shared" si="162"/>
        <v>197349</v>
      </c>
      <c r="AF244">
        <f t="shared" si="162"/>
        <v>938625</v>
      </c>
      <c r="AG244">
        <f t="shared" si="162"/>
        <v>6894581</v>
      </c>
      <c r="AH244">
        <f t="shared" si="162"/>
        <v>774808</v>
      </c>
    </row>
  </sheetData>
  <mergeCells count="21">
    <mergeCell ref="B139:M139"/>
    <mergeCell ref="B19:M19"/>
    <mergeCell ref="B35:M35"/>
    <mergeCell ref="B71:M71"/>
    <mergeCell ref="B87:M87"/>
    <mergeCell ref="B123:M123"/>
    <mergeCell ref="B199:M199"/>
    <mergeCell ref="B215:M215"/>
    <mergeCell ref="A167:H167"/>
    <mergeCell ref="A155:M155"/>
    <mergeCell ref="B232:D232"/>
    <mergeCell ref="E232:G232"/>
    <mergeCell ref="H232:J232"/>
    <mergeCell ref="K232:M232"/>
    <mergeCell ref="AC232:AE232"/>
    <mergeCell ref="AF232:AH232"/>
    <mergeCell ref="N232:P232"/>
    <mergeCell ref="Q232:S232"/>
    <mergeCell ref="T232:V232"/>
    <mergeCell ref="W232:Y232"/>
    <mergeCell ref="Z232:AB232"/>
  </mergeCells>
  <pageMargins left="0.75" right="0.75" top="1" bottom="1" header="0.5" footer="0.5"/>
  <pageSetup scale="75" orientation="landscape" r:id="rId1"/>
  <headerFooter alignWithMargins="0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T25"/>
  <sheetViews>
    <sheetView topLeftCell="F1" zoomScale="90" zoomScaleNormal="90" workbookViewId="0">
      <selection activeCell="S14" sqref="S14"/>
    </sheetView>
  </sheetViews>
  <sheetFormatPr defaultColWidth="8.85546875" defaultRowHeight="12.75" x14ac:dyDescent="0.2"/>
  <cols>
    <col min="1" max="1" width="6" customWidth="1"/>
    <col min="2" max="4" width="15.7109375" customWidth="1"/>
    <col min="5" max="5" width="20.140625" customWidth="1"/>
    <col min="6" max="6" width="13.28515625" customWidth="1"/>
    <col min="7" max="7" width="11.28515625" customWidth="1"/>
    <col min="8" max="8" width="12.42578125" customWidth="1"/>
    <col min="9" max="9" width="14.28515625" customWidth="1"/>
    <col min="10" max="10" width="11.28515625" customWidth="1"/>
    <col min="11" max="12" width="14.42578125" customWidth="1"/>
    <col min="13" max="13" width="12.85546875" customWidth="1"/>
    <col min="14" max="14" width="10.28515625" bestFit="1" customWidth="1"/>
    <col min="15" max="15" width="15" bestFit="1" customWidth="1"/>
    <col min="18" max="18" width="47.85546875" customWidth="1"/>
    <col min="19" max="19" width="41.140625" customWidth="1"/>
    <col min="22" max="22" width="19.140625" customWidth="1"/>
  </cols>
  <sheetData>
    <row r="1" spans="2:19" ht="39" customHeight="1" x14ac:dyDescent="0.2">
      <c r="B1" s="243" t="s">
        <v>162</v>
      </c>
      <c r="C1" s="243"/>
      <c r="D1" s="243"/>
      <c r="E1" s="243"/>
      <c r="F1" s="243"/>
      <c r="G1" s="243"/>
      <c r="H1" s="243"/>
      <c r="I1" s="243"/>
      <c r="J1" s="243"/>
      <c r="K1" s="243"/>
      <c r="L1" s="243"/>
      <c r="M1" s="243"/>
      <c r="N1" s="243"/>
      <c r="O1" s="243"/>
    </row>
    <row r="2" spans="2:19" ht="42" customHeight="1" thickBot="1" x14ac:dyDescent="0.25"/>
    <row r="3" spans="2:19" ht="26.25" customHeight="1" thickBot="1" x14ac:dyDescent="0.25">
      <c r="B3" s="151" t="s">
        <v>46</v>
      </c>
      <c r="C3" s="164" t="s">
        <v>27</v>
      </c>
      <c r="D3" s="165" t="s">
        <v>23</v>
      </c>
      <c r="E3" s="164" t="s">
        <v>28</v>
      </c>
      <c r="F3" s="164" t="s">
        <v>24</v>
      </c>
      <c r="G3" s="164" t="s">
        <v>29</v>
      </c>
      <c r="H3" s="165" t="s">
        <v>123</v>
      </c>
      <c r="I3" s="165" t="s">
        <v>124</v>
      </c>
      <c r="J3" s="165" t="s">
        <v>30</v>
      </c>
      <c r="K3" s="165" t="s">
        <v>163</v>
      </c>
      <c r="L3" s="165" t="s">
        <v>121</v>
      </c>
      <c r="M3" s="166" t="s">
        <v>122</v>
      </c>
      <c r="N3" s="167" t="s">
        <v>31</v>
      </c>
      <c r="O3" s="167" t="s">
        <v>32</v>
      </c>
      <c r="P3" s="167" t="s">
        <v>33</v>
      </c>
      <c r="R3" s="168" t="s">
        <v>164</v>
      </c>
      <c r="S3" s="169">
        <v>11140</v>
      </c>
    </row>
    <row r="4" spans="2:19" ht="13.5" thickBot="1" x14ac:dyDescent="0.25">
      <c r="B4" s="170" t="s">
        <v>145</v>
      </c>
      <c r="C4" s="161">
        <v>367</v>
      </c>
      <c r="D4" s="161">
        <v>185720</v>
      </c>
      <c r="E4" s="161">
        <v>1975</v>
      </c>
      <c r="F4" s="161">
        <f>D4+E4</f>
        <v>187695</v>
      </c>
      <c r="G4" s="161" t="s">
        <v>165</v>
      </c>
      <c r="H4" s="171">
        <v>22.5</v>
      </c>
      <c r="I4" s="171">
        <v>1079.55</v>
      </c>
      <c r="J4" s="172">
        <f>I4/365</f>
        <v>2.9576712328767121</v>
      </c>
      <c r="K4" s="171">
        <f>I4/1024</f>
        <v>1.054248046875</v>
      </c>
      <c r="L4" s="171">
        <v>848.99</v>
      </c>
      <c r="M4" s="173">
        <v>16.670000000000002</v>
      </c>
      <c r="N4" s="171">
        <v>76.33</v>
      </c>
      <c r="O4" s="171">
        <v>763.04</v>
      </c>
      <c r="P4" s="172">
        <f>O4/365</f>
        <v>2.0905205479452054</v>
      </c>
      <c r="R4" s="86" t="s">
        <v>1</v>
      </c>
      <c r="S4" s="87" t="s">
        <v>181</v>
      </c>
    </row>
    <row r="5" spans="2:19" ht="13.5" thickBot="1" x14ac:dyDescent="0.25">
      <c r="B5" s="3"/>
      <c r="C5" s="3"/>
      <c r="D5" s="3"/>
      <c r="E5" s="3"/>
      <c r="F5" s="3"/>
      <c r="G5" s="3"/>
      <c r="H5" s="3"/>
      <c r="I5" s="3"/>
      <c r="J5" s="14"/>
      <c r="K5" s="11"/>
      <c r="L5" s="11"/>
      <c r="M5" s="3"/>
      <c r="N5" s="3"/>
      <c r="O5" s="3"/>
      <c r="P5" s="3"/>
      <c r="R5" s="86" t="s">
        <v>166</v>
      </c>
      <c r="S5" s="88" t="s">
        <v>116</v>
      </c>
    </row>
    <row r="6" spans="2:19" ht="13.5" thickBot="1" x14ac:dyDescent="0.25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R6" s="86" t="s">
        <v>167</v>
      </c>
      <c r="S6" s="87" t="s">
        <v>168</v>
      </c>
    </row>
    <row r="7" spans="2:19" ht="13.5" thickBot="1" x14ac:dyDescent="0.25">
      <c r="B7" s="174" t="s">
        <v>76</v>
      </c>
      <c r="G7" s="3"/>
      <c r="H7" s="3"/>
      <c r="J7" s="3"/>
      <c r="K7" s="3"/>
      <c r="L7" s="3"/>
      <c r="R7" s="86" t="s">
        <v>4</v>
      </c>
      <c r="S7" s="89" t="s">
        <v>117</v>
      </c>
    </row>
    <row r="8" spans="2:19" ht="13.5" thickBot="1" x14ac:dyDescent="0.25">
      <c r="B8" t="s">
        <v>57</v>
      </c>
      <c r="C8" s="175" t="s">
        <v>145</v>
      </c>
      <c r="D8" s="176"/>
      <c r="F8" s="83"/>
      <c r="R8" s="86" t="s">
        <v>5</v>
      </c>
      <c r="S8" s="90" t="s">
        <v>119</v>
      </c>
    </row>
    <row r="9" spans="2:19" ht="13.5" thickBot="1" x14ac:dyDescent="0.25">
      <c r="B9" s="153" t="s">
        <v>49</v>
      </c>
      <c r="C9" s="67">
        <v>17.264521999999999</v>
      </c>
      <c r="D9" s="67"/>
      <c r="R9" s="86" t="s">
        <v>169</v>
      </c>
      <c r="S9" s="87" t="s">
        <v>118</v>
      </c>
    </row>
    <row r="10" spans="2:19" x14ac:dyDescent="0.2">
      <c r="B10" s="153" t="s">
        <v>50</v>
      </c>
      <c r="C10" s="67">
        <v>22.105111999999998</v>
      </c>
      <c r="D10" s="67"/>
      <c r="I10">
        <v>18353349.280000001</v>
      </c>
      <c r="K10" s="65"/>
    </row>
    <row r="11" spans="2:19" x14ac:dyDescent="0.2">
      <c r="B11" s="153" t="s">
        <v>51</v>
      </c>
      <c r="C11" s="67">
        <v>65.958472999999998</v>
      </c>
      <c r="D11" s="67"/>
    </row>
    <row r="12" spans="2:19" ht="13.5" thickBot="1" x14ac:dyDescent="0.25">
      <c r="B12" s="153" t="s">
        <v>52</v>
      </c>
      <c r="C12" s="67">
        <v>89.748705000000001</v>
      </c>
      <c r="D12" s="67"/>
    </row>
    <row r="13" spans="2:19" ht="13.5" thickBot="1" x14ac:dyDescent="0.25">
      <c r="B13" s="153" t="s">
        <v>53</v>
      </c>
      <c r="C13" s="67">
        <v>69.865531000000004</v>
      </c>
      <c r="D13" s="67"/>
      <c r="R13" s="168" t="s">
        <v>0</v>
      </c>
      <c r="S13" s="169">
        <v>11140</v>
      </c>
    </row>
    <row r="14" spans="2:19" ht="18.75" customHeight="1" thickBot="1" x14ac:dyDescent="0.25">
      <c r="B14" s="153" t="s">
        <v>55</v>
      </c>
      <c r="C14" s="67">
        <v>72.539675000000003</v>
      </c>
      <c r="D14" s="67"/>
      <c r="R14" s="86" t="s">
        <v>1</v>
      </c>
      <c r="S14" s="88">
        <v>3210968</v>
      </c>
    </row>
    <row r="15" spans="2:19" ht="18.75" customHeight="1" thickBot="1" x14ac:dyDescent="0.25">
      <c r="B15" s="153" t="s">
        <v>120</v>
      </c>
      <c r="C15" s="67">
        <v>76.3</v>
      </c>
      <c r="D15" s="67"/>
      <c r="R15" s="86"/>
      <c r="S15" s="88"/>
    </row>
    <row r="16" spans="2:19" ht="13.5" thickBot="1" x14ac:dyDescent="0.25">
      <c r="R16" s="86" t="s">
        <v>170</v>
      </c>
      <c r="S16" s="88" t="s">
        <v>116</v>
      </c>
    </row>
    <row r="17" spans="1:20" s="3" customFormat="1" ht="13.5" thickBot="1" x14ac:dyDescent="0.25">
      <c r="A17"/>
      <c r="B17" s="64" t="s">
        <v>32</v>
      </c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R17" s="86" t="s">
        <v>3</v>
      </c>
      <c r="S17" s="87" t="s">
        <v>168</v>
      </c>
      <c r="T17"/>
    </row>
    <row r="18" spans="1:20" s="3" customFormat="1" ht="13.5" thickBot="1" x14ac:dyDescent="0.25">
      <c r="A18"/>
      <c r="B18" t="s">
        <v>57</v>
      </c>
      <c r="C18" s="170" t="s">
        <v>145</v>
      </c>
      <c r="D18" s="34"/>
      <c r="E18"/>
      <c r="F18"/>
      <c r="G18"/>
      <c r="H18"/>
      <c r="I18"/>
      <c r="J18"/>
      <c r="K18"/>
      <c r="L18"/>
      <c r="M18"/>
      <c r="N18"/>
      <c r="O18"/>
      <c r="P18"/>
      <c r="R18" s="86" t="s">
        <v>4</v>
      </c>
      <c r="S18" s="89" t="s">
        <v>117</v>
      </c>
      <c r="T18"/>
    </row>
    <row r="19" spans="1:20" s="3" customFormat="1" ht="13.5" thickBot="1" x14ac:dyDescent="0.25">
      <c r="A19"/>
      <c r="B19" s="153" t="s">
        <v>49</v>
      </c>
      <c r="C19" s="65">
        <v>239.357451171875</v>
      </c>
      <c r="D19" s="65"/>
      <c r="E19"/>
      <c r="F19"/>
      <c r="G19"/>
      <c r="H19"/>
      <c r="I19"/>
      <c r="J19"/>
      <c r="K19"/>
      <c r="L19"/>
      <c r="M19"/>
      <c r="N19"/>
      <c r="O19"/>
      <c r="P19"/>
      <c r="R19" s="86" t="s">
        <v>5</v>
      </c>
      <c r="S19" s="90" t="s">
        <v>171</v>
      </c>
      <c r="T19"/>
    </row>
    <row r="20" spans="1:20" ht="13.5" thickBot="1" x14ac:dyDescent="0.25">
      <c r="B20" s="153" t="s">
        <v>50</v>
      </c>
      <c r="C20" s="65">
        <v>475.84899414062494</v>
      </c>
      <c r="D20" s="65"/>
      <c r="R20" s="86" t="s">
        <v>6</v>
      </c>
      <c r="S20" s="87" t="s">
        <v>118</v>
      </c>
    </row>
    <row r="21" spans="1:20" x14ac:dyDescent="0.2">
      <c r="B21" s="153" t="s">
        <v>51</v>
      </c>
      <c r="C21" s="65">
        <v>833.81921875</v>
      </c>
      <c r="D21" s="65"/>
    </row>
    <row r="22" spans="1:20" x14ac:dyDescent="0.2">
      <c r="B22" s="153" t="s">
        <v>52</v>
      </c>
      <c r="C22" s="65">
        <v>856.63578125000004</v>
      </c>
      <c r="D22" s="65"/>
    </row>
    <row r="23" spans="1:20" x14ac:dyDescent="0.2">
      <c r="B23" s="153" t="s">
        <v>53</v>
      </c>
      <c r="C23" s="65">
        <v>891.62641206054695</v>
      </c>
      <c r="D23" s="65"/>
    </row>
    <row r="24" spans="1:20" x14ac:dyDescent="0.2">
      <c r="B24" s="153" t="s">
        <v>55</v>
      </c>
      <c r="C24" s="65">
        <v>786.36682507619889</v>
      </c>
      <c r="D24" s="65"/>
    </row>
    <row r="25" spans="1:20" x14ac:dyDescent="0.2">
      <c r="B25" s="153" t="s">
        <v>120</v>
      </c>
      <c r="C25" s="67">
        <v>763.04</v>
      </c>
      <c r="D25" s="67"/>
    </row>
  </sheetData>
  <mergeCells count="1">
    <mergeCell ref="B1:O1"/>
  </mergeCells>
  <pageMargins left="0.75" right="0.75" top="1" bottom="1" header="0.5" footer="0.5"/>
  <pageSetup scale="75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1"/>
  <sheetViews>
    <sheetView zoomScale="70" zoomScaleNormal="70" workbookViewId="0">
      <selection activeCell="B2" sqref="B2"/>
    </sheetView>
  </sheetViews>
  <sheetFormatPr defaultColWidth="8.85546875" defaultRowHeight="12.75" x14ac:dyDescent="0.2"/>
  <cols>
    <col min="1" max="1" width="8.85546875" style="116"/>
    <col min="2" max="2" width="12.7109375" style="116" customWidth="1"/>
    <col min="3" max="3" width="12.140625" style="116" customWidth="1"/>
    <col min="4" max="4" width="11.42578125" style="116" customWidth="1"/>
    <col min="5" max="5" width="10" style="116" customWidth="1"/>
    <col min="6" max="6" width="11.42578125" style="116" customWidth="1"/>
    <col min="7" max="235" width="8.85546875" style="116"/>
    <col min="236" max="236" width="14.42578125" style="116" customWidth="1"/>
    <col min="237" max="237" width="16.42578125" style="116" customWidth="1"/>
    <col min="238" max="238" width="14.42578125" style="116" customWidth="1"/>
    <col min="239" max="241" width="8.85546875" style="116"/>
    <col min="242" max="242" width="10.28515625" style="116" bestFit="1" customWidth="1"/>
    <col min="243" max="243" width="10.140625" style="116" customWidth="1"/>
    <col min="244" max="244" width="11.42578125" style="116" customWidth="1"/>
    <col min="245" max="245" width="11" style="116" customWidth="1"/>
    <col min="246" max="246" width="6.28515625" style="116" customWidth="1"/>
    <col min="247" max="247" width="11.28515625" style="116" customWidth="1"/>
    <col min="248" max="248" width="14.7109375" style="116" bestFit="1" customWidth="1"/>
    <col min="249" max="491" width="8.85546875" style="116"/>
    <col min="492" max="492" width="14.42578125" style="116" customWidth="1"/>
    <col min="493" max="493" width="16.42578125" style="116" customWidth="1"/>
    <col min="494" max="494" width="14.42578125" style="116" customWidth="1"/>
    <col min="495" max="497" width="8.85546875" style="116"/>
    <col min="498" max="498" width="10.28515625" style="116" bestFit="1" customWidth="1"/>
    <col min="499" max="499" width="10.140625" style="116" customWidth="1"/>
    <col min="500" max="500" width="11.42578125" style="116" customWidth="1"/>
    <col min="501" max="501" width="11" style="116" customWidth="1"/>
    <col min="502" max="502" width="6.28515625" style="116" customWidth="1"/>
    <col min="503" max="503" width="11.28515625" style="116" customWidth="1"/>
    <col min="504" max="504" width="14.7109375" style="116" bestFit="1" customWidth="1"/>
    <col min="505" max="747" width="8.85546875" style="116"/>
    <col min="748" max="748" width="14.42578125" style="116" customWidth="1"/>
    <col min="749" max="749" width="16.42578125" style="116" customWidth="1"/>
    <col min="750" max="750" width="14.42578125" style="116" customWidth="1"/>
    <col min="751" max="753" width="8.85546875" style="116"/>
    <col min="754" max="754" width="10.28515625" style="116" bestFit="1" customWidth="1"/>
    <col min="755" max="755" width="10.140625" style="116" customWidth="1"/>
    <col min="756" max="756" width="11.42578125" style="116" customWidth="1"/>
    <col min="757" max="757" width="11" style="116" customWidth="1"/>
    <col min="758" max="758" width="6.28515625" style="116" customWidth="1"/>
    <col min="759" max="759" width="11.28515625" style="116" customWidth="1"/>
    <col min="760" max="760" width="14.7109375" style="116" bestFit="1" customWidth="1"/>
    <col min="761" max="1003" width="8.85546875" style="116"/>
    <col min="1004" max="1004" width="14.42578125" style="116" customWidth="1"/>
    <col min="1005" max="1005" width="16.42578125" style="116" customWidth="1"/>
    <col min="1006" max="1006" width="14.42578125" style="116" customWidth="1"/>
    <col min="1007" max="1009" width="8.85546875" style="116"/>
    <col min="1010" max="1010" width="10.28515625" style="116" bestFit="1" customWidth="1"/>
    <col min="1011" max="1011" width="10.140625" style="116" customWidth="1"/>
    <col min="1012" max="1012" width="11.42578125" style="116" customWidth="1"/>
    <col min="1013" max="1013" width="11" style="116" customWidth="1"/>
    <col min="1014" max="1014" width="6.28515625" style="116" customWidth="1"/>
    <col min="1015" max="1015" width="11.28515625" style="116" customWidth="1"/>
    <col min="1016" max="1016" width="14.7109375" style="116" bestFit="1" customWidth="1"/>
    <col min="1017" max="1259" width="8.85546875" style="116"/>
    <col min="1260" max="1260" width="14.42578125" style="116" customWidth="1"/>
    <col min="1261" max="1261" width="16.42578125" style="116" customWidth="1"/>
    <col min="1262" max="1262" width="14.42578125" style="116" customWidth="1"/>
    <col min="1263" max="1265" width="8.85546875" style="116"/>
    <col min="1266" max="1266" width="10.28515625" style="116" bestFit="1" customWidth="1"/>
    <col min="1267" max="1267" width="10.140625" style="116" customWidth="1"/>
    <col min="1268" max="1268" width="11.42578125" style="116" customWidth="1"/>
    <col min="1269" max="1269" width="11" style="116" customWidth="1"/>
    <col min="1270" max="1270" width="6.28515625" style="116" customWidth="1"/>
    <col min="1271" max="1271" width="11.28515625" style="116" customWidth="1"/>
    <col min="1272" max="1272" width="14.7109375" style="116" bestFit="1" customWidth="1"/>
    <col min="1273" max="1515" width="8.85546875" style="116"/>
    <col min="1516" max="1516" width="14.42578125" style="116" customWidth="1"/>
    <col min="1517" max="1517" width="16.42578125" style="116" customWidth="1"/>
    <col min="1518" max="1518" width="14.42578125" style="116" customWidth="1"/>
    <col min="1519" max="1521" width="8.85546875" style="116"/>
    <col min="1522" max="1522" width="10.28515625" style="116" bestFit="1" customWidth="1"/>
    <col min="1523" max="1523" width="10.140625" style="116" customWidth="1"/>
    <col min="1524" max="1524" width="11.42578125" style="116" customWidth="1"/>
    <col min="1525" max="1525" width="11" style="116" customWidth="1"/>
    <col min="1526" max="1526" width="6.28515625" style="116" customWidth="1"/>
    <col min="1527" max="1527" width="11.28515625" style="116" customWidth="1"/>
    <col min="1528" max="1528" width="14.7109375" style="116" bestFit="1" customWidth="1"/>
    <col min="1529" max="1771" width="8.85546875" style="116"/>
    <col min="1772" max="1772" width="14.42578125" style="116" customWidth="1"/>
    <col min="1773" max="1773" width="16.42578125" style="116" customWidth="1"/>
    <col min="1774" max="1774" width="14.42578125" style="116" customWidth="1"/>
    <col min="1775" max="1777" width="8.85546875" style="116"/>
    <col min="1778" max="1778" width="10.28515625" style="116" bestFit="1" customWidth="1"/>
    <col min="1779" max="1779" width="10.140625" style="116" customWidth="1"/>
    <col min="1780" max="1780" width="11.42578125" style="116" customWidth="1"/>
    <col min="1781" max="1781" width="11" style="116" customWidth="1"/>
    <col min="1782" max="1782" width="6.28515625" style="116" customWidth="1"/>
    <col min="1783" max="1783" width="11.28515625" style="116" customWidth="1"/>
    <col min="1784" max="1784" width="14.7109375" style="116" bestFit="1" customWidth="1"/>
    <col min="1785" max="2027" width="8.85546875" style="116"/>
    <col min="2028" max="2028" width="14.42578125" style="116" customWidth="1"/>
    <col min="2029" max="2029" width="16.42578125" style="116" customWidth="1"/>
    <col min="2030" max="2030" width="14.42578125" style="116" customWidth="1"/>
    <col min="2031" max="2033" width="8.85546875" style="116"/>
    <col min="2034" max="2034" width="10.28515625" style="116" bestFit="1" customWidth="1"/>
    <col min="2035" max="2035" width="10.140625" style="116" customWidth="1"/>
    <col min="2036" max="2036" width="11.42578125" style="116" customWidth="1"/>
    <col min="2037" max="2037" width="11" style="116" customWidth="1"/>
    <col min="2038" max="2038" width="6.28515625" style="116" customWidth="1"/>
    <col min="2039" max="2039" width="11.28515625" style="116" customWidth="1"/>
    <col min="2040" max="2040" width="14.7109375" style="116" bestFit="1" customWidth="1"/>
    <col min="2041" max="2283" width="8.85546875" style="116"/>
    <col min="2284" max="2284" width="14.42578125" style="116" customWidth="1"/>
    <col min="2285" max="2285" width="16.42578125" style="116" customWidth="1"/>
    <col min="2286" max="2286" width="14.42578125" style="116" customWidth="1"/>
    <col min="2287" max="2289" width="8.85546875" style="116"/>
    <col min="2290" max="2290" width="10.28515625" style="116" bestFit="1" customWidth="1"/>
    <col min="2291" max="2291" width="10.140625" style="116" customWidth="1"/>
    <col min="2292" max="2292" width="11.42578125" style="116" customWidth="1"/>
    <col min="2293" max="2293" width="11" style="116" customWidth="1"/>
    <col min="2294" max="2294" width="6.28515625" style="116" customWidth="1"/>
    <col min="2295" max="2295" width="11.28515625" style="116" customWidth="1"/>
    <col min="2296" max="2296" width="14.7109375" style="116" bestFit="1" customWidth="1"/>
    <col min="2297" max="2539" width="8.85546875" style="116"/>
    <col min="2540" max="2540" width="14.42578125" style="116" customWidth="1"/>
    <col min="2541" max="2541" width="16.42578125" style="116" customWidth="1"/>
    <col min="2542" max="2542" width="14.42578125" style="116" customWidth="1"/>
    <col min="2543" max="2545" width="8.85546875" style="116"/>
    <col min="2546" max="2546" width="10.28515625" style="116" bestFit="1" customWidth="1"/>
    <col min="2547" max="2547" width="10.140625" style="116" customWidth="1"/>
    <col min="2548" max="2548" width="11.42578125" style="116" customWidth="1"/>
    <col min="2549" max="2549" width="11" style="116" customWidth="1"/>
    <col min="2550" max="2550" width="6.28515625" style="116" customWidth="1"/>
    <col min="2551" max="2551" width="11.28515625" style="116" customWidth="1"/>
    <col min="2552" max="2552" width="14.7109375" style="116" bestFit="1" customWidth="1"/>
    <col min="2553" max="2795" width="8.85546875" style="116"/>
    <col min="2796" max="2796" width="14.42578125" style="116" customWidth="1"/>
    <col min="2797" max="2797" width="16.42578125" style="116" customWidth="1"/>
    <col min="2798" max="2798" width="14.42578125" style="116" customWidth="1"/>
    <col min="2799" max="2801" width="8.85546875" style="116"/>
    <col min="2802" max="2802" width="10.28515625" style="116" bestFit="1" customWidth="1"/>
    <col min="2803" max="2803" width="10.140625" style="116" customWidth="1"/>
    <col min="2804" max="2804" width="11.42578125" style="116" customWidth="1"/>
    <col min="2805" max="2805" width="11" style="116" customWidth="1"/>
    <col min="2806" max="2806" width="6.28515625" style="116" customWidth="1"/>
    <col min="2807" max="2807" width="11.28515625" style="116" customWidth="1"/>
    <col min="2808" max="2808" width="14.7109375" style="116" bestFit="1" customWidth="1"/>
    <col min="2809" max="3051" width="8.85546875" style="116"/>
    <col min="3052" max="3052" width="14.42578125" style="116" customWidth="1"/>
    <col min="3053" max="3053" width="16.42578125" style="116" customWidth="1"/>
    <col min="3054" max="3054" width="14.42578125" style="116" customWidth="1"/>
    <col min="3055" max="3057" width="8.85546875" style="116"/>
    <col min="3058" max="3058" width="10.28515625" style="116" bestFit="1" customWidth="1"/>
    <col min="3059" max="3059" width="10.140625" style="116" customWidth="1"/>
    <col min="3060" max="3060" width="11.42578125" style="116" customWidth="1"/>
    <col min="3061" max="3061" width="11" style="116" customWidth="1"/>
    <col min="3062" max="3062" width="6.28515625" style="116" customWidth="1"/>
    <col min="3063" max="3063" width="11.28515625" style="116" customWidth="1"/>
    <col min="3064" max="3064" width="14.7109375" style="116" bestFit="1" customWidth="1"/>
    <col min="3065" max="3307" width="8.85546875" style="116"/>
    <col min="3308" max="3308" width="14.42578125" style="116" customWidth="1"/>
    <col min="3309" max="3309" width="16.42578125" style="116" customWidth="1"/>
    <col min="3310" max="3310" width="14.42578125" style="116" customWidth="1"/>
    <col min="3311" max="3313" width="8.85546875" style="116"/>
    <col min="3314" max="3314" width="10.28515625" style="116" bestFit="1" customWidth="1"/>
    <col min="3315" max="3315" width="10.140625" style="116" customWidth="1"/>
    <col min="3316" max="3316" width="11.42578125" style="116" customWidth="1"/>
    <col min="3317" max="3317" width="11" style="116" customWidth="1"/>
    <col min="3318" max="3318" width="6.28515625" style="116" customWidth="1"/>
    <col min="3319" max="3319" width="11.28515625" style="116" customWidth="1"/>
    <col min="3320" max="3320" width="14.7109375" style="116" bestFit="1" customWidth="1"/>
    <col min="3321" max="3563" width="8.85546875" style="116"/>
    <col min="3564" max="3564" width="14.42578125" style="116" customWidth="1"/>
    <col min="3565" max="3565" width="16.42578125" style="116" customWidth="1"/>
    <col min="3566" max="3566" width="14.42578125" style="116" customWidth="1"/>
    <col min="3567" max="3569" width="8.85546875" style="116"/>
    <col min="3570" max="3570" width="10.28515625" style="116" bestFit="1" customWidth="1"/>
    <col min="3571" max="3571" width="10.140625" style="116" customWidth="1"/>
    <col min="3572" max="3572" width="11.42578125" style="116" customWidth="1"/>
    <col min="3573" max="3573" width="11" style="116" customWidth="1"/>
    <col min="3574" max="3574" width="6.28515625" style="116" customWidth="1"/>
    <col min="3575" max="3575" width="11.28515625" style="116" customWidth="1"/>
    <col min="3576" max="3576" width="14.7109375" style="116" bestFit="1" customWidth="1"/>
    <col min="3577" max="3819" width="8.85546875" style="116"/>
    <col min="3820" max="3820" width="14.42578125" style="116" customWidth="1"/>
    <col min="3821" max="3821" width="16.42578125" style="116" customWidth="1"/>
    <col min="3822" max="3822" width="14.42578125" style="116" customWidth="1"/>
    <col min="3823" max="3825" width="8.85546875" style="116"/>
    <col min="3826" max="3826" width="10.28515625" style="116" bestFit="1" customWidth="1"/>
    <col min="3827" max="3827" width="10.140625" style="116" customWidth="1"/>
    <col min="3828" max="3828" width="11.42578125" style="116" customWidth="1"/>
    <col min="3829" max="3829" width="11" style="116" customWidth="1"/>
    <col min="3830" max="3830" width="6.28515625" style="116" customWidth="1"/>
    <col min="3831" max="3831" width="11.28515625" style="116" customWidth="1"/>
    <col min="3832" max="3832" width="14.7109375" style="116" bestFit="1" customWidth="1"/>
    <col min="3833" max="4075" width="8.85546875" style="116"/>
    <col min="4076" max="4076" width="14.42578125" style="116" customWidth="1"/>
    <col min="4077" max="4077" width="16.42578125" style="116" customWidth="1"/>
    <col min="4078" max="4078" width="14.42578125" style="116" customWidth="1"/>
    <col min="4079" max="4081" width="8.85546875" style="116"/>
    <col min="4082" max="4082" width="10.28515625" style="116" bestFit="1" customWidth="1"/>
    <col min="4083" max="4083" width="10.140625" style="116" customWidth="1"/>
    <col min="4084" max="4084" width="11.42578125" style="116" customWidth="1"/>
    <col min="4085" max="4085" width="11" style="116" customWidth="1"/>
    <col min="4086" max="4086" width="6.28515625" style="116" customWidth="1"/>
    <col min="4087" max="4087" width="11.28515625" style="116" customWidth="1"/>
    <col min="4088" max="4088" width="14.7109375" style="116" bestFit="1" customWidth="1"/>
    <col min="4089" max="4331" width="8.85546875" style="116"/>
    <col min="4332" max="4332" width="14.42578125" style="116" customWidth="1"/>
    <col min="4333" max="4333" width="16.42578125" style="116" customWidth="1"/>
    <col min="4334" max="4334" width="14.42578125" style="116" customWidth="1"/>
    <col min="4335" max="4337" width="8.85546875" style="116"/>
    <col min="4338" max="4338" width="10.28515625" style="116" bestFit="1" customWidth="1"/>
    <col min="4339" max="4339" width="10.140625" style="116" customWidth="1"/>
    <col min="4340" max="4340" width="11.42578125" style="116" customWidth="1"/>
    <col min="4341" max="4341" width="11" style="116" customWidth="1"/>
    <col min="4342" max="4342" width="6.28515625" style="116" customWidth="1"/>
    <col min="4343" max="4343" width="11.28515625" style="116" customWidth="1"/>
    <col min="4344" max="4344" width="14.7109375" style="116" bestFit="1" customWidth="1"/>
    <col min="4345" max="4587" width="8.85546875" style="116"/>
    <col min="4588" max="4588" width="14.42578125" style="116" customWidth="1"/>
    <col min="4589" max="4589" width="16.42578125" style="116" customWidth="1"/>
    <col min="4590" max="4590" width="14.42578125" style="116" customWidth="1"/>
    <col min="4591" max="4593" width="8.85546875" style="116"/>
    <col min="4594" max="4594" width="10.28515625" style="116" bestFit="1" customWidth="1"/>
    <col min="4595" max="4595" width="10.140625" style="116" customWidth="1"/>
    <col min="4596" max="4596" width="11.42578125" style="116" customWidth="1"/>
    <col min="4597" max="4597" width="11" style="116" customWidth="1"/>
    <col min="4598" max="4598" width="6.28515625" style="116" customWidth="1"/>
    <col min="4599" max="4599" width="11.28515625" style="116" customWidth="1"/>
    <col min="4600" max="4600" width="14.7109375" style="116" bestFit="1" customWidth="1"/>
    <col min="4601" max="4843" width="8.85546875" style="116"/>
    <col min="4844" max="4844" width="14.42578125" style="116" customWidth="1"/>
    <col min="4845" max="4845" width="16.42578125" style="116" customWidth="1"/>
    <col min="4846" max="4846" width="14.42578125" style="116" customWidth="1"/>
    <col min="4847" max="4849" width="8.85546875" style="116"/>
    <col min="4850" max="4850" width="10.28515625" style="116" bestFit="1" customWidth="1"/>
    <col min="4851" max="4851" width="10.140625" style="116" customWidth="1"/>
    <col min="4852" max="4852" width="11.42578125" style="116" customWidth="1"/>
    <col min="4853" max="4853" width="11" style="116" customWidth="1"/>
    <col min="4854" max="4854" width="6.28515625" style="116" customWidth="1"/>
    <col min="4855" max="4855" width="11.28515625" style="116" customWidth="1"/>
    <col min="4856" max="4856" width="14.7109375" style="116" bestFit="1" customWidth="1"/>
    <col min="4857" max="5099" width="8.85546875" style="116"/>
    <col min="5100" max="5100" width="14.42578125" style="116" customWidth="1"/>
    <col min="5101" max="5101" width="16.42578125" style="116" customWidth="1"/>
    <col min="5102" max="5102" width="14.42578125" style="116" customWidth="1"/>
    <col min="5103" max="5105" width="8.85546875" style="116"/>
    <col min="5106" max="5106" width="10.28515625" style="116" bestFit="1" customWidth="1"/>
    <col min="5107" max="5107" width="10.140625" style="116" customWidth="1"/>
    <col min="5108" max="5108" width="11.42578125" style="116" customWidth="1"/>
    <col min="5109" max="5109" width="11" style="116" customWidth="1"/>
    <col min="5110" max="5110" width="6.28515625" style="116" customWidth="1"/>
    <col min="5111" max="5111" width="11.28515625" style="116" customWidth="1"/>
    <col min="5112" max="5112" width="14.7109375" style="116" bestFit="1" customWidth="1"/>
    <col min="5113" max="5355" width="8.85546875" style="116"/>
    <col min="5356" max="5356" width="14.42578125" style="116" customWidth="1"/>
    <col min="5357" max="5357" width="16.42578125" style="116" customWidth="1"/>
    <col min="5358" max="5358" width="14.42578125" style="116" customWidth="1"/>
    <col min="5359" max="5361" width="8.85546875" style="116"/>
    <col min="5362" max="5362" width="10.28515625" style="116" bestFit="1" customWidth="1"/>
    <col min="5363" max="5363" width="10.140625" style="116" customWidth="1"/>
    <col min="5364" max="5364" width="11.42578125" style="116" customWidth="1"/>
    <col min="5365" max="5365" width="11" style="116" customWidth="1"/>
    <col min="5366" max="5366" width="6.28515625" style="116" customWidth="1"/>
    <col min="5367" max="5367" width="11.28515625" style="116" customWidth="1"/>
    <col min="5368" max="5368" width="14.7109375" style="116" bestFit="1" customWidth="1"/>
    <col min="5369" max="5611" width="8.85546875" style="116"/>
    <col min="5612" max="5612" width="14.42578125" style="116" customWidth="1"/>
    <col min="5613" max="5613" width="16.42578125" style="116" customWidth="1"/>
    <col min="5614" max="5614" width="14.42578125" style="116" customWidth="1"/>
    <col min="5615" max="5617" width="8.85546875" style="116"/>
    <col min="5618" max="5618" width="10.28515625" style="116" bestFit="1" customWidth="1"/>
    <col min="5619" max="5619" width="10.140625" style="116" customWidth="1"/>
    <col min="5620" max="5620" width="11.42578125" style="116" customWidth="1"/>
    <col min="5621" max="5621" width="11" style="116" customWidth="1"/>
    <col min="5622" max="5622" width="6.28515625" style="116" customWidth="1"/>
    <col min="5623" max="5623" width="11.28515625" style="116" customWidth="1"/>
    <col min="5624" max="5624" width="14.7109375" style="116" bestFit="1" customWidth="1"/>
    <col min="5625" max="5867" width="8.85546875" style="116"/>
    <col min="5868" max="5868" width="14.42578125" style="116" customWidth="1"/>
    <col min="5869" max="5869" width="16.42578125" style="116" customWidth="1"/>
    <col min="5870" max="5870" width="14.42578125" style="116" customWidth="1"/>
    <col min="5871" max="5873" width="8.85546875" style="116"/>
    <col min="5874" max="5874" width="10.28515625" style="116" bestFit="1" customWidth="1"/>
    <col min="5875" max="5875" width="10.140625" style="116" customWidth="1"/>
    <col min="5876" max="5876" width="11.42578125" style="116" customWidth="1"/>
    <col min="5877" max="5877" width="11" style="116" customWidth="1"/>
    <col min="5878" max="5878" width="6.28515625" style="116" customWidth="1"/>
    <col min="5879" max="5879" width="11.28515625" style="116" customWidth="1"/>
    <col min="5880" max="5880" width="14.7109375" style="116" bestFit="1" customWidth="1"/>
    <col min="5881" max="6123" width="8.85546875" style="116"/>
    <col min="6124" max="6124" width="14.42578125" style="116" customWidth="1"/>
    <col min="6125" max="6125" width="16.42578125" style="116" customWidth="1"/>
    <col min="6126" max="6126" width="14.42578125" style="116" customWidth="1"/>
    <col min="6127" max="6129" width="8.85546875" style="116"/>
    <col min="6130" max="6130" width="10.28515625" style="116" bestFit="1" customWidth="1"/>
    <col min="6131" max="6131" width="10.140625" style="116" customWidth="1"/>
    <col min="6132" max="6132" width="11.42578125" style="116" customWidth="1"/>
    <col min="6133" max="6133" width="11" style="116" customWidth="1"/>
    <col min="6134" max="6134" width="6.28515625" style="116" customWidth="1"/>
    <col min="6135" max="6135" width="11.28515625" style="116" customWidth="1"/>
    <col min="6136" max="6136" width="14.7109375" style="116" bestFit="1" customWidth="1"/>
    <col min="6137" max="6379" width="8.85546875" style="116"/>
    <col min="6380" max="6380" width="14.42578125" style="116" customWidth="1"/>
    <col min="6381" max="6381" width="16.42578125" style="116" customWidth="1"/>
    <col min="6382" max="6382" width="14.42578125" style="116" customWidth="1"/>
    <col min="6383" max="6385" width="8.85546875" style="116"/>
    <col min="6386" max="6386" width="10.28515625" style="116" bestFit="1" customWidth="1"/>
    <col min="6387" max="6387" width="10.140625" style="116" customWidth="1"/>
    <col min="6388" max="6388" width="11.42578125" style="116" customWidth="1"/>
    <col min="6389" max="6389" width="11" style="116" customWidth="1"/>
    <col min="6390" max="6390" width="6.28515625" style="116" customWidth="1"/>
    <col min="6391" max="6391" width="11.28515625" style="116" customWidth="1"/>
    <col min="6392" max="6392" width="14.7109375" style="116" bestFit="1" customWidth="1"/>
    <col min="6393" max="6635" width="8.85546875" style="116"/>
    <col min="6636" max="6636" width="14.42578125" style="116" customWidth="1"/>
    <col min="6637" max="6637" width="16.42578125" style="116" customWidth="1"/>
    <col min="6638" max="6638" width="14.42578125" style="116" customWidth="1"/>
    <col min="6639" max="6641" width="8.85546875" style="116"/>
    <col min="6642" max="6642" width="10.28515625" style="116" bestFit="1" customWidth="1"/>
    <col min="6643" max="6643" width="10.140625" style="116" customWidth="1"/>
    <col min="6644" max="6644" width="11.42578125" style="116" customWidth="1"/>
    <col min="6645" max="6645" width="11" style="116" customWidth="1"/>
    <col min="6646" max="6646" width="6.28515625" style="116" customWidth="1"/>
    <col min="6647" max="6647" width="11.28515625" style="116" customWidth="1"/>
    <col min="6648" max="6648" width="14.7109375" style="116" bestFit="1" customWidth="1"/>
    <col min="6649" max="6891" width="8.85546875" style="116"/>
    <col min="6892" max="6892" width="14.42578125" style="116" customWidth="1"/>
    <col min="6893" max="6893" width="16.42578125" style="116" customWidth="1"/>
    <col min="6894" max="6894" width="14.42578125" style="116" customWidth="1"/>
    <col min="6895" max="6897" width="8.85546875" style="116"/>
    <col min="6898" max="6898" width="10.28515625" style="116" bestFit="1" customWidth="1"/>
    <col min="6899" max="6899" width="10.140625" style="116" customWidth="1"/>
    <col min="6900" max="6900" width="11.42578125" style="116" customWidth="1"/>
    <col min="6901" max="6901" width="11" style="116" customWidth="1"/>
    <col min="6902" max="6902" width="6.28515625" style="116" customWidth="1"/>
    <col min="6903" max="6903" width="11.28515625" style="116" customWidth="1"/>
    <col min="6904" max="6904" width="14.7109375" style="116" bestFit="1" customWidth="1"/>
    <col min="6905" max="7147" width="8.85546875" style="116"/>
    <col min="7148" max="7148" width="14.42578125" style="116" customWidth="1"/>
    <col min="7149" max="7149" width="16.42578125" style="116" customWidth="1"/>
    <col min="7150" max="7150" width="14.42578125" style="116" customWidth="1"/>
    <col min="7151" max="7153" width="8.85546875" style="116"/>
    <col min="7154" max="7154" width="10.28515625" style="116" bestFit="1" customWidth="1"/>
    <col min="7155" max="7155" width="10.140625" style="116" customWidth="1"/>
    <col min="7156" max="7156" width="11.42578125" style="116" customWidth="1"/>
    <col min="7157" max="7157" width="11" style="116" customWidth="1"/>
    <col min="7158" max="7158" width="6.28515625" style="116" customWidth="1"/>
    <col min="7159" max="7159" width="11.28515625" style="116" customWidth="1"/>
    <col min="7160" max="7160" width="14.7109375" style="116" bestFit="1" customWidth="1"/>
    <col min="7161" max="7403" width="8.85546875" style="116"/>
    <col min="7404" max="7404" width="14.42578125" style="116" customWidth="1"/>
    <col min="7405" max="7405" width="16.42578125" style="116" customWidth="1"/>
    <col min="7406" max="7406" width="14.42578125" style="116" customWidth="1"/>
    <col min="7407" max="7409" width="8.85546875" style="116"/>
    <col min="7410" max="7410" width="10.28515625" style="116" bestFit="1" customWidth="1"/>
    <col min="7411" max="7411" width="10.140625" style="116" customWidth="1"/>
    <col min="7412" max="7412" width="11.42578125" style="116" customWidth="1"/>
    <col min="7413" max="7413" width="11" style="116" customWidth="1"/>
    <col min="7414" max="7414" width="6.28515625" style="116" customWidth="1"/>
    <col min="7415" max="7415" width="11.28515625" style="116" customWidth="1"/>
    <col min="7416" max="7416" width="14.7109375" style="116" bestFit="1" customWidth="1"/>
    <col min="7417" max="7659" width="8.85546875" style="116"/>
    <col min="7660" max="7660" width="14.42578125" style="116" customWidth="1"/>
    <col min="7661" max="7661" width="16.42578125" style="116" customWidth="1"/>
    <col min="7662" max="7662" width="14.42578125" style="116" customWidth="1"/>
    <col min="7663" max="7665" width="8.85546875" style="116"/>
    <col min="7666" max="7666" width="10.28515625" style="116" bestFit="1" customWidth="1"/>
    <col min="7667" max="7667" width="10.140625" style="116" customWidth="1"/>
    <col min="7668" max="7668" width="11.42578125" style="116" customWidth="1"/>
    <col min="7669" max="7669" width="11" style="116" customWidth="1"/>
    <col min="7670" max="7670" width="6.28515625" style="116" customWidth="1"/>
    <col min="7671" max="7671" width="11.28515625" style="116" customWidth="1"/>
    <col min="7672" max="7672" width="14.7109375" style="116" bestFit="1" customWidth="1"/>
    <col min="7673" max="7915" width="8.85546875" style="116"/>
    <col min="7916" max="7916" width="14.42578125" style="116" customWidth="1"/>
    <col min="7917" max="7917" width="16.42578125" style="116" customWidth="1"/>
    <col min="7918" max="7918" width="14.42578125" style="116" customWidth="1"/>
    <col min="7919" max="7921" width="8.85546875" style="116"/>
    <col min="7922" max="7922" width="10.28515625" style="116" bestFit="1" customWidth="1"/>
    <col min="7923" max="7923" width="10.140625" style="116" customWidth="1"/>
    <col min="7924" max="7924" width="11.42578125" style="116" customWidth="1"/>
    <col min="7925" max="7925" width="11" style="116" customWidth="1"/>
    <col min="7926" max="7926" width="6.28515625" style="116" customWidth="1"/>
    <col min="7927" max="7927" width="11.28515625" style="116" customWidth="1"/>
    <col min="7928" max="7928" width="14.7109375" style="116" bestFit="1" customWidth="1"/>
    <col min="7929" max="8171" width="8.85546875" style="116"/>
    <col min="8172" max="8172" width="14.42578125" style="116" customWidth="1"/>
    <col min="8173" max="8173" width="16.42578125" style="116" customWidth="1"/>
    <col min="8174" max="8174" width="14.42578125" style="116" customWidth="1"/>
    <col min="8175" max="8177" width="8.85546875" style="116"/>
    <col min="8178" max="8178" width="10.28515625" style="116" bestFit="1" customWidth="1"/>
    <col min="8179" max="8179" width="10.140625" style="116" customWidth="1"/>
    <col min="8180" max="8180" width="11.42578125" style="116" customWidth="1"/>
    <col min="8181" max="8181" width="11" style="116" customWidth="1"/>
    <col min="8182" max="8182" width="6.28515625" style="116" customWidth="1"/>
    <col min="8183" max="8183" width="11.28515625" style="116" customWidth="1"/>
    <col min="8184" max="8184" width="14.7109375" style="116" bestFit="1" customWidth="1"/>
    <col min="8185" max="8427" width="8.85546875" style="116"/>
    <col min="8428" max="8428" width="14.42578125" style="116" customWidth="1"/>
    <col min="8429" max="8429" width="16.42578125" style="116" customWidth="1"/>
    <col min="8430" max="8430" width="14.42578125" style="116" customWidth="1"/>
    <col min="8431" max="8433" width="8.85546875" style="116"/>
    <col min="8434" max="8434" width="10.28515625" style="116" bestFit="1" customWidth="1"/>
    <col min="8435" max="8435" width="10.140625" style="116" customWidth="1"/>
    <col min="8436" max="8436" width="11.42578125" style="116" customWidth="1"/>
    <col min="8437" max="8437" width="11" style="116" customWidth="1"/>
    <col min="8438" max="8438" width="6.28515625" style="116" customWidth="1"/>
    <col min="8439" max="8439" width="11.28515625" style="116" customWidth="1"/>
    <col min="8440" max="8440" width="14.7109375" style="116" bestFit="1" customWidth="1"/>
    <col min="8441" max="8683" width="8.85546875" style="116"/>
    <col min="8684" max="8684" width="14.42578125" style="116" customWidth="1"/>
    <col min="8685" max="8685" width="16.42578125" style="116" customWidth="1"/>
    <col min="8686" max="8686" width="14.42578125" style="116" customWidth="1"/>
    <col min="8687" max="8689" width="8.85546875" style="116"/>
    <col min="8690" max="8690" width="10.28515625" style="116" bestFit="1" customWidth="1"/>
    <col min="8691" max="8691" width="10.140625" style="116" customWidth="1"/>
    <col min="8692" max="8692" width="11.42578125" style="116" customWidth="1"/>
    <col min="8693" max="8693" width="11" style="116" customWidth="1"/>
    <col min="8694" max="8694" width="6.28515625" style="116" customWidth="1"/>
    <col min="8695" max="8695" width="11.28515625" style="116" customWidth="1"/>
    <col min="8696" max="8696" width="14.7109375" style="116" bestFit="1" customWidth="1"/>
    <col min="8697" max="8939" width="8.85546875" style="116"/>
    <col min="8940" max="8940" width="14.42578125" style="116" customWidth="1"/>
    <col min="8941" max="8941" width="16.42578125" style="116" customWidth="1"/>
    <col min="8942" max="8942" width="14.42578125" style="116" customWidth="1"/>
    <col min="8943" max="8945" width="8.85546875" style="116"/>
    <col min="8946" max="8946" width="10.28515625" style="116" bestFit="1" customWidth="1"/>
    <col min="8947" max="8947" width="10.140625" style="116" customWidth="1"/>
    <col min="8948" max="8948" width="11.42578125" style="116" customWidth="1"/>
    <col min="8949" max="8949" width="11" style="116" customWidth="1"/>
    <col min="8950" max="8950" width="6.28515625" style="116" customWidth="1"/>
    <col min="8951" max="8951" width="11.28515625" style="116" customWidth="1"/>
    <col min="8952" max="8952" width="14.7109375" style="116" bestFit="1" customWidth="1"/>
    <col min="8953" max="9195" width="8.85546875" style="116"/>
    <col min="9196" max="9196" width="14.42578125" style="116" customWidth="1"/>
    <col min="9197" max="9197" width="16.42578125" style="116" customWidth="1"/>
    <col min="9198" max="9198" width="14.42578125" style="116" customWidth="1"/>
    <col min="9199" max="9201" width="8.85546875" style="116"/>
    <col min="9202" max="9202" width="10.28515625" style="116" bestFit="1" customWidth="1"/>
    <col min="9203" max="9203" width="10.140625" style="116" customWidth="1"/>
    <col min="9204" max="9204" width="11.42578125" style="116" customWidth="1"/>
    <col min="9205" max="9205" width="11" style="116" customWidth="1"/>
    <col min="9206" max="9206" width="6.28515625" style="116" customWidth="1"/>
    <col min="9207" max="9207" width="11.28515625" style="116" customWidth="1"/>
    <col min="9208" max="9208" width="14.7109375" style="116" bestFit="1" customWidth="1"/>
    <col min="9209" max="9451" width="8.85546875" style="116"/>
    <col min="9452" max="9452" width="14.42578125" style="116" customWidth="1"/>
    <col min="9453" max="9453" width="16.42578125" style="116" customWidth="1"/>
    <col min="9454" max="9454" width="14.42578125" style="116" customWidth="1"/>
    <col min="9455" max="9457" width="8.85546875" style="116"/>
    <col min="9458" max="9458" width="10.28515625" style="116" bestFit="1" customWidth="1"/>
    <col min="9459" max="9459" width="10.140625" style="116" customWidth="1"/>
    <col min="9460" max="9460" width="11.42578125" style="116" customWidth="1"/>
    <col min="9461" max="9461" width="11" style="116" customWidth="1"/>
    <col min="9462" max="9462" width="6.28515625" style="116" customWidth="1"/>
    <col min="9463" max="9463" width="11.28515625" style="116" customWidth="1"/>
    <col min="9464" max="9464" width="14.7109375" style="116" bestFit="1" customWidth="1"/>
    <col min="9465" max="9707" width="8.85546875" style="116"/>
    <col min="9708" max="9708" width="14.42578125" style="116" customWidth="1"/>
    <col min="9709" max="9709" width="16.42578125" style="116" customWidth="1"/>
    <col min="9710" max="9710" width="14.42578125" style="116" customWidth="1"/>
    <col min="9711" max="9713" width="8.85546875" style="116"/>
    <col min="9714" max="9714" width="10.28515625" style="116" bestFit="1" customWidth="1"/>
    <col min="9715" max="9715" width="10.140625" style="116" customWidth="1"/>
    <col min="9716" max="9716" width="11.42578125" style="116" customWidth="1"/>
    <col min="9717" max="9717" width="11" style="116" customWidth="1"/>
    <col min="9718" max="9718" width="6.28515625" style="116" customWidth="1"/>
    <col min="9719" max="9719" width="11.28515625" style="116" customWidth="1"/>
    <col min="9720" max="9720" width="14.7109375" style="116" bestFit="1" customWidth="1"/>
    <col min="9721" max="9963" width="8.85546875" style="116"/>
    <col min="9964" max="9964" width="14.42578125" style="116" customWidth="1"/>
    <col min="9965" max="9965" width="16.42578125" style="116" customWidth="1"/>
    <col min="9966" max="9966" width="14.42578125" style="116" customWidth="1"/>
    <col min="9967" max="9969" width="8.85546875" style="116"/>
    <col min="9970" max="9970" width="10.28515625" style="116" bestFit="1" customWidth="1"/>
    <col min="9971" max="9971" width="10.140625" style="116" customWidth="1"/>
    <col min="9972" max="9972" width="11.42578125" style="116" customWidth="1"/>
    <col min="9973" max="9973" width="11" style="116" customWidth="1"/>
    <col min="9974" max="9974" width="6.28515625" style="116" customWidth="1"/>
    <col min="9975" max="9975" width="11.28515625" style="116" customWidth="1"/>
    <col min="9976" max="9976" width="14.7109375" style="116" bestFit="1" customWidth="1"/>
    <col min="9977" max="10219" width="8.85546875" style="116"/>
    <col min="10220" max="10220" width="14.42578125" style="116" customWidth="1"/>
    <col min="10221" max="10221" width="16.42578125" style="116" customWidth="1"/>
    <col min="10222" max="10222" width="14.42578125" style="116" customWidth="1"/>
    <col min="10223" max="10225" width="8.85546875" style="116"/>
    <col min="10226" max="10226" width="10.28515625" style="116" bestFit="1" customWidth="1"/>
    <col min="10227" max="10227" width="10.140625" style="116" customWidth="1"/>
    <col min="10228" max="10228" width="11.42578125" style="116" customWidth="1"/>
    <col min="10229" max="10229" width="11" style="116" customWidth="1"/>
    <col min="10230" max="10230" width="6.28515625" style="116" customWidth="1"/>
    <col min="10231" max="10231" width="11.28515625" style="116" customWidth="1"/>
    <col min="10232" max="10232" width="14.7109375" style="116" bestFit="1" customWidth="1"/>
    <col min="10233" max="10475" width="8.85546875" style="116"/>
    <col min="10476" max="10476" width="14.42578125" style="116" customWidth="1"/>
    <col min="10477" max="10477" width="16.42578125" style="116" customWidth="1"/>
    <col min="10478" max="10478" width="14.42578125" style="116" customWidth="1"/>
    <col min="10479" max="10481" width="8.85546875" style="116"/>
    <col min="10482" max="10482" width="10.28515625" style="116" bestFit="1" customWidth="1"/>
    <col min="10483" max="10483" width="10.140625" style="116" customWidth="1"/>
    <col min="10484" max="10484" width="11.42578125" style="116" customWidth="1"/>
    <col min="10485" max="10485" width="11" style="116" customWidth="1"/>
    <col min="10486" max="10486" width="6.28515625" style="116" customWidth="1"/>
    <col min="10487" max="10487" width="11.28515625" style="116" customWidth="1"/>
    <col min="10488" max="10488" width="14.7109375" style="116" bestFit="1" customWidth="1"/>
    <col min="10489" max="10731" width="8.85546875" style="116"/>
    <col min="10732" max="10732" width="14.42578125" style="116" customWidth="1"/>
    <col min="10733" max="10733" width="16.42578125" style="116" customWidth="1"/>
    <col min="10734" max="10734" width="14.42578125" style="116" customWidth="1"/>
    <col min="10735" max="10737" width="8.85546875" style="116"/>
    <col min="10738" max="10738" width="10.28515625" style="116" bestFit="1" customWidth="1"/>
    <col min="10739" max="10739" width="10.140625" style="116" customWidth="1"/>
    <col min="10740" max="10740" width="11.42578125" style="116" customWidth="1"/>
    <col min="10741" max="10741" width="11" style="116" customWidth="1"/>
    <col min="10742" max="10742" width="6.28515625" style="116" customWidth="1"/>
    <col min="10743" max="10743" width="11.28515625" style="116" customWidth="1"/>
    <col min="10744" max="10744" width="14.7109375" style="116" bestFit="1" customWidth="1"/>
    <col min="10745" max="10987" width="8.85546875" style="116"/>
    <col min="10988" max="10988" width="14.42578125" style="116" customWidth="1"/>
    <col min="10989" max="10989" width="16.42578125" style="116" customWidth="1"/>
    <col min="10990" max="10990" width="14.42578125" style="116" customWidth="1"/>
    <col min="10991" max="10993" width="8.85546875" style="116"/>
    <col min="10994" max="10994" width="10.28515625" style="116" bestFit="1" customWidth="1"/>
    <col min="10995" max="10995" width="10.140625" style="116" customWidth="1"/>
    <col min="10996" max="10996" width="11.42578125" style="116" customWidth="1"/>
    <col min="10997" max="10997" width="11" style="116" customWidth="1"/>
    <col min="10998" max="10998" width="6.28515625" style="116" customWidth="1"/>
    <col min="10999" max="10999" width="11.28515625" style="116" customWidth="1"/>
    <col min="11000" max="11000" width="14.7109375" style="116" bestFit="1" customWidth="1"/>
    <col min="11001" max="11243" width="8.85546875" style="116"/>
    <col min="11244" max="11244" width="14.42578125" style="116" customWidth="1"/>
    <col min="11245" max="11245" width="16.42578125" style="116" customWidth="1"/>
    <col min="11246" max="11246" width="14.42578125" style="116" customWidth="1"/>
    <col min="11247" max="11249" width="8.85546875" style="116"/>
    <col min="11250" max="11250" width="10.28515625" style="116" bestFit="1" customWidth="1"/>
    <col min="11251" max="11251" width="10.140625" style="116" customWidth="1"/>
    <col min="11252" max="11252" width="11.42578125" style="116" customWidth="1"/>
    <col min="11253" max="11253" width="11" style="116" customWidth="1"/>
    <col min="11254" max="11254" width="6.28515625" style="116" customWidth="1"/>
    <col min="11255" max="11255" width="11.28515625" style="116" customWidth="1"/>
    <col min="11256" max="11256" width="14.7109375" style="116" bestFit="1" customWidth="1"/>
    <col min="11257" max="11499" width="8.85546875" style="116"/>
    <col min="11500" max="11500" width="14.42578125" style="116" customWidth="1"/>
    <col min="11501" max="11501" width="16.42578125" style="116" customWidth="1"/>
    <col min="11502" max="11502" width="14.42578125" style="116" customWidth="1"/>
    <col min="11503" max="11505" width="8.85546875" style="116"/>
    <col min="11506" max="11506" width="10.28515625" style="116" bestFit="1" customWidth="1"/>
    <col min="11507" max="11507" width="10.140625" style="116" customWidth="1"/>
    <col min="11508" max="11508" width="11.42578125" style="116" customWidth="1"/>
    <col min="11509" max="11509" width="11" style="116" customWidth="1"/>
    <col min="11510" max="11510" width="6.28515625" style="116" customWidth="1"/>
    <col min="11511" max="11511" width="11.28515625" style="116" customWidth="1"/>
    <col min="11512" max="11512" width="14.7109375" style="116" bestFit="1" customWidth="1"/>
    <col min="11513" max="11755" width="8.85546875" style="116"/>
    <col min="11756" max="11756" width="14.42578125" style="116" customWidth="1"/>
    <col min="11757" max="11757" width="16.42578125" style="116" customWidth="1"/>
    <col min="11758" max="11758" width="14.42578125" style="116" customWidth="1"/>
    <col min="11759" max="11761" width="8.85546875" style="116"/>
    <col min="11762" max="11762" width="10.28515625" style="116" bestFit="1" customWidth="1"/>
    <col min="11763" max="11763" width="10.140625" style="116" customWidth="1"/>
    <col min="11764" max="11764" width="11.42578125" style="116" customWidth="1"/>
    <col min="11765" max="11765" width="11" style="116" customWidth="1"/>
    <col min="11766" max="11766" width="6.28515625" style="116" customWidth="1"/>
    <col min="11767" max="11767" width="11.28515625" style="116" customWidth="1"/>
    <col min="11768" max="11768" width="14.7109375" style="116" bestFit="1" customWidth="1"/>
    <col min="11769" max="12011" width="8.85546875" style="116"/>
    <col min="12012" max="12012" width="14.42578125" style="116" customWidth="1"/>
    <col min="12013" max="12013" width="16.42578125" style="116" customWidth="1"/>
    <col min="12014" max="12014" width="14.42578125" style="116" customWidth="1"/>
    <col min="12015" max="12017" width="8.85546875" style="116"/>
    <col min="12018" max="12018" width="10.28515625" style="116" bestFit="1" customWidth="1"/>
    <col min="12019" max="12019" width="10.140625" style="116" customWidth="1"/>
    <col min="12020" max="12020" width="11.42578125" style="116" customWidth="1"/>
    <col min="12021" max="12021" width="11" style="116" customWidth="1"/>
    <col min="12022" max="12022" width="6.28515625" style="116" customWidth="1"/>
    <col min="12023" max="12023" width="11.28515625" style="116" customWidth="1"/>
    <col min="12024" max="12024" width="14.7109375" style="116" bestFit="1" customWidth="1"/>
    <col min="12025" max="12267" width="8.85546875" style="116"/>
    <col min="12268" max="12268" width="14.42578125" style="116" customWidth="1"/>
    <col min="12269" max="12269" width="16.42578125" style="116" customWidth="1"/>
    <col min="12270" max="12270" width="14.42578125" style="116" customWidth="1"/>
    <col min="12271" max="12273" width="8.85546875" style="116"/>
    <col min="12274" max="12274" width="10.28515625" style="116" bestFit="1" customWidth="1"/>
    <col min="12275" max="12275" width="10.140625" style="116" customWidth="1"/>
    <col min="12276" max="12276" width="11.42578125" style="116" customWidth="1"/>
    <col min="12277" max="12277" width="11" style="116" customWidth="1"/>
    <col min="12278" max="12278" width="6.28515625" style="116" customWidth="1"/>
    <col min="12279" max="12279" width="11.28515625" style="116" customWidth="1"/>
    <col min="12280" max="12280" width="14.7109375" style="116" bestFit="1" customWidth="1"/>
    <col min="12281" max="12523" width="8.85546875" style="116"/>
    <col min="12524" max="12524" width="14.42578125" style="116" customWidth="1"/>
    <col min="12525" max="12525" width="16.42578125" style="116" customWidth="1"/>
    <col min="12526" max="12526" width="14.42578125" style="116" customWidth="1"/>
    <col min="12527" max="12529" width="8.85546875" style="116"/>
    <col min="12530" max="12530" width="10.28515625" style="116" bestFit="1" customWidth="1"/>
    <col min="12531" max="12531" width="10.140625" style="116" customWidth="1"/>
    <col min="12532" max="12532" width="11.42578125" style="116" customWidth="1"/>
    <col min="12533" max="12533" width="11" style="116" customWidth="1"/>
    <col min="12534" max="12534" width="6.28515625" style="116" customWidth="1"/>
    <col min="12535" max="12535" width="11.28515625" style="116" customWidth="1"/>
    <col min="12536" max="12536" width="14.7109375" style="116" bestFit="1" customWidth="1"/>
    <col min="12537" max="12779" width="8.85546875" style="116"/>
    <col min="12780" max="12780" width="14.42578125" style="116" customWidth="1"/>
    <col min="12781" max="12781" width="16.42578125" style="116" customWidth="1"/>
    <col min="12782" max="12782" width="14.42578125" style="116" customWidth="1"/>
    <col min="12783" max="12785" width="8.85546875" style="116"/>
    <col min="12786" max="12786" width="10.28515625" style="116" bestFit="1" customWidth="1"/>
    <col min="12787" max="12787" width="10.140625" style="116" customWidth="1"/>
    <col min="12788" max="12788" width="11.42578125" style="116" customWidth="1"/>
    <col min="12789" max="12789" width="11" style="116" customWidth="1"/>
    <col min="12790" max="12790" width="6.28515625" style="116" customWidth="1"/>
    <col min="12791" max="12791" width="11.28515625" style="116" customWidth="1"/>
    <col min="12792" max="12792" width="14.7109375" style="116" bestFit="1" customWidth="1"/>
    <col min="12793" max="13035" width="8.85546875" style="116"/>
    <col min="13036" max="13036" width="14.42578125" style="116" customWidth="1"/>
    <col min="13037" max="13037" width="16.42578125" style="116" customWidth="1"/>
    <col min="13038" max="13038" width="14.42578125" style="116" customWidth="1"/>
    <col min="13039" max="13041" width="8.85546875" style="116"/>
    <col min="13042" max="13042" width="10.28515625" style="116" bestFit="1" customWidth="1"/>
    <col min="13043" max="13043" width="10.140625" style="116" customWidth="1"/>
    <col min="13044" max="13044" width="11.42578125" style="116" customWidth="1"/>
    <col min="13045" max="13045" width="11" style="116" customWidth="1"/>
    <col min="13046" max="13046" width="6.28515625" style="116" customWidth="1"/>
    <col min="13047" max="13047" width="11.28515625" style="116" customWidth="1"/>
    <col min="13048" max="13048" width="14.7109375" style="116" bestFit="1" customWidth="1"/>
    <col min="13049" max="13291" width="8.85546875" style="116"/>
    <col min="13292" max="13292" width="14.42578125" style="116" customWidth="1"/>
    <col min="13293" max="13293" width="16.42578125" style="116" customWidth="1"/>
    <col min="13294" max="13294" width="14.42578125" style="116" customWidth="1"/>
    <col min="13295" max="13297" width="8.85546875" style="116"/>
    <col min="13298" max="13298" width="10.28515625" style="116" bestFit="1" customWidth="1"/>
    <col min="13299" max="13299" width="10.140625" style="116" customWidth="1"/>
    <col min="13300" max="13300" width="11.42578125" style="116" customWidth="1"/>
    <col min="13301" max="13301" width="11" style="116" customWidth="1"/>
    <col min="13302" max="13302" width="6.28515625" style="116" customWidth="1"/>
    <col min="13303" max="13303" width="11.28515625" style="116" customWidth="1"/>
    <col min="13304" max="13304" width="14.7109375" style="116" bestFit="1" customWidth="1"/>
    <col min="13305" max="13547" width="8.85546875" style="116"/>
    <col min="13548" max="13548" width="14.42578125" style="116" customWidth="1"/>
    <col min="13549" max="13549" width="16.42578125" style="116" customWidth="1"/>
    <col min="13550" max="13550" width="14.42578125" style="116" customWidth="1"/>
    <col min="13551" max="13553" width="8.85546875" style="116"/>
    <col min="13554" max="13554" width="10.28515625" style="116" bestFit="1" customWidth="1"/>
    <col min="13555" max="13555" width="10.140625" style="116" customWidth="1"/>
    <col min="13556" max="13556" width="11.42578125" style="116" customWidth="1"/>
    <col min="13557" max="13557" width="11" style="116" customWidth="1"/>
    <col min="13558" max="13558" width="6.28515625" style="116" customWidth="1"/>
    <col min="13559" max="13559" width="11.28515625" style="116" customWidth="1"/>
    <col min="13560" max="13560" width="14.7109375" style="116" bestFit="1" customWidth="1"/>
    <col min="13561" max="13803" width="8.85546875" style="116"/>
    <col min="13804" max="13804" width="14.42578125" style="116" customWidth="1"/>
    <col min="13805" max="13805" width="16.42578125" style="116" customWidth="1"/>
    <col min="13806" max="13806" width="14.42578125" style="116" customWidth="1"/>
    <col min="13807" max="13809" width="8.85546875" style="116"/>
    <col min="13810" max="13810" width="10.28515625" style="116" bestFit="1" customWidth="1"/>
    <col min="13811" max="13811" width="10.140625" style="116" customWidth="1"/>
    <col min="13812" max="13812" width="11.42578125" style="116" customWidth="1"/>
    <col min="13813" max="13813" width="11" style="116" customWidth="1"/>
    <col min="13814" max="13814" width="6.28515625" style="116" customWidth="1"/>
    <col min="13815" max="13815" width="11.28515625" style="116" customWidth="1"/>
    <col min="13816" max="13816" width="14.7109375" style="116" bestFit="1" customWidth="1"/>
    <col min="13817" max="14059" width="8.85546875" style="116"/>
    <col min="14060" max="14060" width="14.42578125" style="116" customWidth="1"/>
    <col min="14061" max="14061" width="16.42578125" style="116" customWidth="1"/>
    <col min="14062" max="14062" width="14.42578125" style="116" customWidth="1"/>
    <col min="14063" max="14065" width="8.85546875" style="116"/>
    <col min="14066" max="14066" width="10.28515625" style="116" bestFit="1" customWidth="1"/>
    <col min="14067" max="14067" width="10.140625" style="116" customWidth="1"/>
    <col min="14068" max="14068" width="11.42578125" style="116" customWidth="1"/>
    <col min="14069" max="14069" width="11" style="116" customWidth="1"/>
    <col min="14070" max="14070" width="6.28515625" style="116" customWidth="1"/>
    <col min="14071" max="14071" width="11.28515625" style="116" customWidth="1"/>
    <col min="14072" max="14072" width="14.7109375" style="116" bestFit="1" customWidth="1"/>
    <col min="14073" max="14315" width="8.85546875" style="116"/>
    <col min="14316" max="14316" width="14.42578125" style="116" customWidth="1"/>
    <col min="14317" max="14317" width="16.42578125" style="116" customWidth="1"/>
    <col min="14318" max="14318" width="14.42578125" style="116" customWidth="1"/>
    <col min="14319" max="14321" width="8.85546875" style="116"/>
    <col min="14322" max="14322" width="10.28515625" style="116" bestFit="1" customWidth="1"/>
    <col min="14323" max="14323" width="10.140625" style="116" customWidth="1"/>
    <col min="14324" max="14324" width="11.42578125" style="116" customWidth="1"/>
    <col min="14325" max="14325" width="11" style="116" customWidth="1"/>
    <col min="14326" max="14326" width="6.28515625" style="116" customWidth="1"/>
    <col min="14327" max="14327" width="11.28515625" style="116" customWidth="1"/>
    <col min="14328" max="14328" width="14.7109375" style="116" bestFit="1" customWidth="1"/>
    <col min="14329" max="14571" width="8.85546875" style="116"/>
    <col min="14572" max="14572" width="14.42578125" style="116" customWidth="1"/>
    <col min="14573" max="14573" width="16.42578125" style="116" customWidth="1"/>
    <col min="14574" max="14574" width="14.42578125" style="116" customWidth="1"/>
    <col min="14575" max="14577" width="8.85546875" style="116"/>
    <col min="14578" max="14578" width="10.28515625" style="116" bestFit="1" customWidth="1"/>
    <col min="14579" max="14579" width="10.140625" style="116" customWidth="1"/>
    <col min="14580" max="14580" width="11.42578125" style="116" customWidth="1"/>
    <col min="14581" max="14581" width="11" style="116" customWidth="1"/>
    <col min="14582" max="14582" width="6.28515625" style="116" customWidth="1"/>
    <col min="14583" max="14583" width="11.28515625" style="116" customWidth="1"/>
    <col min="14584" max="14584" width="14.7109375" style="116" bestFit="1" customWidth="1"/>
    <col min="14585" max="14827" width="8.85546875" style="116"/>
    <col min="14828" max="14828" width="14.42578125" style="116" customWidth="1"/>
    <col min="14829" max="14829" width="16.42578125" style="116" customWidth="1"/>
    <col min="14830" max="14830" width="14.42578125" style="116" customWidth="1"/>
    <col min="14831" max="14833" width="8.85546875" style="116"/>
    <col min="14834" max="14834" width="10.28515625" style="116" bestFit="1" customWidth="1"/>
    <col min="14835" max="14835" width="10.140625" style="116" customWidth="1"/>
    <col min="14836" max="14836" width="11.42578125" style="116" customWidth="1"/>
    <col min="14837" max="14837" width="11" style="116" customWidth="1"/>
    <col min="14838" max="14838" width="6.28515625" style="116" customWidth="1"/>
    <col min="14839" max="14839" width="11.28515625" style="116" customWidth="1"/>
    <col min="14840" max="14840" width="14.7109375" style="116" bestFit="1" customWidth="1"/>
    <col min="14841" max="15083" width="8.85546875" style="116"/>
    <col min="15084" max="15084" width="14.42578125" style="116" customWidth="1"/>
    <col min="15085" max="15085" width="16.42578125" style="116" customWidth="1"/>
    <col min="15086" max="15086" width="14.42578125" style="116" customWidth="1"/>
    <col min="15087" max="15089" width="8.85546875" style="116"/>
    <col min="15090" max="15090" width="10.28515625" style="116" bestFit="1" customWidth="1"/>
    <col min="15091" max="15091" width="10.140625" style="116" customWidth="1"/>
    <col min="15092" max="15092" width="11.42578125" style="116" customWidth="1"/>
    <col min="15093" max="15093" width="11" style="116" customWidth="1"/>
    <col min="15094" max="15094" width="6.28515625" style="116" customWidth="1"/>
    <col min="15095" max="15095" width="11.28515625" style="116" customWidth="1"/>
    <col min="15096" max="15096" width="14.7109375" style="116" bestFit="1" customWidth="1"/>
    <col min="15097" max="15339" width="8.85546875" style="116"/>
    <col min="15340" max="15340" width="14.42578125" style="116" customWidth="1"/>
    <col min="15341" max="15341" width="16.42578125" style="116" customWidth="1"/>
    <col min="15342" max="15342" width="14.42578125" style="116" customWidth="1"/>
    <col min="15343" max="15345" width="8.85546875" style="116"/>
    <col min="15346" max="15346" width="10.28515625" style="116" bestFit="1" customWidth="1"/>
    <col min="15347" max="15347" width="10.140625" style="116" customWidth="1"/>
    <col min="15348" max="15348" width="11.42578125" style="116" customWidth="1"/>
    <col min="15349" max="15349" width="11" style="116" customWidth="1"/>
    <col min="15350" max="15350" width="6.28515625" style="116" customWidth="1"/>
    <col min="15351" max="15351" width="11.28515625" style="116" customWidth="1"/>
    <col min="15352" max="15352" width="14.7109375" style="116" bestFit="1" customWidth="1"/>
    <col min="15353" max="15595" width="8.85546875" style="116"/>
    <col min="15596" max="15596" width="14.42578125" style="116" customWidth="1"/>
    <col min="15597" max="15597" width="16.42578125" style="116" customWidth="1"/>
    <col min="15598" max="15598" width="14.42578125" style="116" customWidth="1"/>
    <col min="15599" max="15601" width="8.85546875" style="116"/>
    <col min="15602" max="15602" width="10.28515625" style="116" bestFit="1" customWidth="1"/>
    <col min="15603" max="15603" width="10.140625" style="116" customWidth="1"/>
    <col min="15604" max="15604" width="11.42578125" style="116" customWidth="1"/>
    <col min="15605" max="15605" width="11" style="116" customWidth="1"/>
    <col min="15606" max="15606" width="6.28515625" style="116" customWidth="1"/>
    <col min="15607" max="15607" width="11.28515625" style="116" customWidth="1"/>
    <col min="15608" max="15608" width="14.7109375" style="116" bestFit="1" customWidth="1"/>
    <col min="15609" max="15851" width="8.85546875" style="116"/>
    <col min="15852" max="15852" width="14.42578125" style="116" customWidth="1"/>
    <col min="15853" max="15853" width="16.42578125" style="116" customWidth="1"/>
    <col min="15854" max="15854" width="14.42578125" style="116" customWidth="1"/>
    <col min="15855" max="15857" width="8.85546875" style="116"/>
    <col min="15858" max="15858" width="10.28515625" style="116" bestFit="1" customWidth="1"/>
    <col min="15859" max="15859" width="10.140625" style="116" customWidth="1"/>
    <col min="15860" max="15860" width="11.42578125" style="116" customWidth="1"/>
    <col min="15861" max="15861" width="11" style="116" customWidth="1"/>
    <col min="15862" max="15862" width="6.28515625" style="116" customWidth="1"/>
    <col min="15863" max="15863" width="11.28515625" style="116" customWidth="1"/>
    <col min="15864" max="15864" width="14.7109375" style="116" bestFit="1" customWidth="1"/>
    <col min="15865" max="16107" width="8.85546875" style="116"/>
    <col min="16108" max="16108" width="14.42578125" style="116" customWidth="1"/>
    <col min="16109" max="16109" width="16.42578125" style="116" customWidth="1"/>
    <col min="16110" max="16110" width="14.42578125" style="116" customWidth="1"/>
    <col min="16111" max="16113" width="8.85546875" style="116"/>
    <col min="16114" max="16114" width="10.28515625" style="116" bestFit="1" customWidth="1"/>
    <col min="16115" max="16115" width="10.140625" style="116" customWidth="1"/>
    <col min="16116" max="16116" width="11.42578125" style="116" customWidth="1"/>
    <col min="16117" max="16117" width="11" style="116" customWidth="1"/>
    <col min="16118" max="16118" width="6.28515625" style="116" customWidth="1"/>
    <col min="16119" max="16119" width="11.28515625" style="116" customWidth="1"/>
    <col min="16120" max="16120" width="14.7109375" style="116" bestFit="1" customWidth="1"/>
    <col min="16121" max="16384" width="8.85546875" style="116"/>
  </cols>
  <sheetData>
    <row r="1" spans="1:5" x14ac:dyDescent="0.2">
      <c r="A1" s="115" t="s">
        <v>85</v>
      </c>
    </row>
    <row r="2" spans="1:5" ht="38.25" x14ac:dyDescent="0.2">
      <c r="A2" s="117" t="s">
        <v>18</v>
      </c>
      <c r="B2" s="118" t="s">
        <v>145</v>
      </c>
      <c r="D2" s="117" t="s">
        <v>18</v>
      </c>
      <c r="E2" s="118" t="s">
        <v>145</v>
      </c>
    </row>
    <row r="3" spans="1:5" ht="15.75" customHeight="1" x14ac:dyDescent="0.2">
      <c r="A3" s="119" t="s">
        <v>146</v>
      </c>
      <c r="B3" s="120">
        <f t="shared" ref="B3:B15" si="0">E3/1000000</f>
        <v>6.0743309999999999</v>
      </c>
      <c r="D3" s="117" t="s">
        <v>146</v>
      </c>
      <c r="E3" s="121">
        <v>6074331</v>
      </c>
    </row>
    <row r="4" spans="1:5" x14ac:dyDescent="0.2">
      <c r="A4" s="108" t="s">
        <v>113</v>
      </c>
      <c r="B4" s="120">
        <f t="shared" si="0"/>
        <v>6.2105220000000001</v>
      </c>
      <c r="D4" s="108" t="s">
        <v>113</v>
      </c>
      <c r="E4" s="121">
        <v>6210522</v>
      </c>
    </row>
    <row r="5" spans="1:5" x14ac:dyDescent="0.2">
      <c r="A5" s="108" t="s">
        <v>114</v>
      </c>
      <c r="B5" s="120">
        <f t="shared" si="0"/>
        <v>5.8724679999999996</v>
      </c>
      <c r="D5" s="108" t="s">
        <v>114</v>
      </c>
      <c r="E5" s="121">
        <v>5872468</v>
      </c>
    </row>
    <row r="6" spans="1:5" x14ac:dyDescent="0.2">
      <c r="A6" s="108" t="s">
        <v>115</v>
      </c>
      <c r="B6" s="120">
        <f t="shared" si="0"/>
        <v>5.8778819999999996</v>
      </c>
      <c r="D6" s="108" t="s">
        <v>115</v>
      </c>
      <c r="E6" s="121">
        <v>5877882</v>
      </c>
    </row>
    <row r="7" spans="1:5" x14ac:dyDescent="0.2">
      <c r="A7" s="108" t="s">
        <v>103</v>
      </c>
      <c r="B7" s="120">
        <f t="shared" si="0"/>
        <v>5.9676429999999998</v>
      </c>
      <c r="D7" s="108" t="s">
        <v>103</v>
      </c>
      <c r="E7" s="121">
        <v>5967643</v>
      </c>
    </row>
    <row r="8" spans="1:5" x14ac:dyDescent="0.2">
      <c r="A8" s="108" t="s">
        <v>104</v>
      </c>
      <c r="B8" s="120">
        <f t="shared" si="0"/>
        <v>4.889405</v>
      </c>
      <c r="D8" s="108" t="s">
        <v>104</v>
      </c>
      <c r="E8" s="121">
        <v>4889405</v>
      </c>
    </row>
    <row r="9" spans="1:5" x14ac:dyDescent="0.2">
      <c r="A9" s="108" t="s">
        <v>105</v>
      </c>
      <c r="B9" s="120">
        <f t="shared" si="0"/>
        <v>6.2421730000000002</v>
      </c>
      <c r="D9" s="108" t="s">
        <v>105</v>
      </c>
      <c r="E9" s="121">
        <v>6242173</v>
      </c>
    </row>
    <row r="10" spans="1:5" x14ac:dyDescent="0.2">
      <c r="A10" s="108" t="s">
        <v>106</v>
      </c>
      <c r="B10" s="120">
        <f t="shared" si="0"/>
        <v>5.8612760000000002</v>
      </c>
      <c r="D10" s="108" t="s">
        <v>106</v>
      </c>
      <c r="E10" s="121">
        <v>5861276</v>
      </c>
    </row>
    <row r="11" spans="1:5" x14ac:dyDescent="0.2">
      <c r="A11" s="108" t="s">
        <v>107</v>
      </c>
      <c r="B11" s="120">
        <f t="shared" si="0"/>
        <v>6.937182</v>
      </c>
      <c r="D11" s="108" t="s">
        <v>107</v>
      </c>
      <c r="E11" s="121">
        <v>6937182</v>
      </c>
    </row>
    <row r="12" spans="1:5" x14ac:dyDescent="0.2">
      <c r="A12" s="108" t="s">
        <v>108</v>
      </c>
      <c r="B12" s="120">
        <f t="shared" si="0"/>
        <v>6.9289430000000003</v>
      </c>
      <c r="D12" s="108" t="s">
        <v>108</v>
      </c>
      <c r="E12" s="121">
        <v>6928943</v>
      </c>
    </row>
    <row r="13" spans="1:5" x14ac:dyDescent="0.2">
      <c r="A13" s="108" t="s">
        <v>109</v>
      </c>
      <c r="B13" s="120">
        <f t="shared" si="0"/>
        <v>7.6561719999999998</v>
      </c>
      <c r="D13" s="108" t="s">
        <v>109</v>
      </c>
      <c r="E13" s="121">
        <v>7656172</v>
      </c>
    </row>
    <row r="14" spans="1:5" x14ac:dyDescent="0.2">
      <c r="A14" s="108" t="s">
        <v>110</v>
      </c>
      <c r="B14" s="120">
        <f t="shared" si="0"/>
        <v>7.4987740000000001</v>
      </c>
      <c r="D14" s="108" t="s">
        <v>110</v>
      </c>
      <c r="E14" s="121">
        <v>7498774</v>
      </c>
    </row>
    <row r="15" spans="1:5" x14ac:dyDescent="0.2">
      <c r="A15" s="108" t="s">
        <v>111</v>
      </c>
      <c r="B15" s="120">
        <f t="shared" si="0"/>
        <v>6.3921099999999997</v>
      </c>
      <c r="D15" s="108" t="s">
        <v>111</v>
      </c>
      <c r="E15" s="121">
        <v>6392110</v>
      </c>
    </row>
    <row r="16" spans="1:5" x14ac:dyDescent="0.2">
      <c r="A16" s="122" t="s">
        <v>20</v>
      </c>
      <c r="B16" s="120">
        <f>SUM(B4:B15)</f>
        <v>76.334549999999993</v>
      </c>
      <c r="D16" s="122" t="s">
        <v>20</v>
      </c>
      <c r="E16" s="121">
        <f>SUM(E4:E15)</f>
        <v>76334550</v>
      </c>
    </row>
    <row r="17" spans="1:5" x14ac:dyDescent="0.2">
      <c r="A17" s="116" t="s">
        <v>38</v>
      </c>
      <c r="B17" s="123">
        <f>AVERAGE(B4:B15)</f>
        <v>6.3612124999999997</v>
      </c>
    </row>
    <row r="18" spans="1:5" x14ac:dyDescent="0.2">
      <c r="A18" s="124" t="s">
        <v>129</v>
      </c>
      <c r="B18" s="123">
        <v>72.540000000000006</v>
      </c>
    </row>
    <row r="20" spans="1:5" x14ac:dyDescent="0.2">
      <c r="A20" s="116" t="s">
        <v>39</v>
      </c>
      <c r="B20" s="125"/>
      <c r="C20" s="111"/>
      <c r="D20" s="111"/>
      <c r="E20" s="111"/>
    </row>
    <row r="21" spans="1:5" x14ac:dyDescent="0.2">
      <c r="A21" s="116" t="s">
        <v>21</v>
      </c>
      <c r="B21" s="118" t="s">
        <v>145</v>
      </c>
      <c r="C21" s="126"/>
      <c r="D21" s="127"/>
      <c r="E21" s="127"/>
    </row>
    <row r="22" spans="1:5" x14ac:dyDescent="0.2">
      <c r="A22" s="128">
        <v>42278</v>
      </c>
      <c r="B22" s="129">
        <f t="shared" ref="B22:B33" si="1">B4-B$17</f>
        <v>-0.15069049999999962</v>
      </c>
      <c r="C22" s="130"/>
      <c r="D22" s="130"/>
    </row>
    <row r="23" spans="1:5" x14ac:dyDescent="0.2">
      <c r="A23" s="128">
        <v>42309</v>
      </c>
      <c r="B23" s="129">
        <f t="shared" si="1"/>
        <v>-0.48874450000000014</v>
      </c>
    </row>
    <row r="24" spans="1:5" x14ac:dyDescent="0.2">
      <c r="A24" s="128">
        <v>42339</v>
      </c>
      <c r="B24" s="129">
        <f t="shared" si="1"/>
        <v>-0.48333050000000011</v>
      </c>
    </row>
    <row r="25" spans="1:5" x14ac:dyDescent="0.2">
      <c r="A25" s="128">
        <v>42370</v>
      </c>
      <c r="B25" s="129">
        <f t="shared" si="1"/>
        <v>-0.39356949999999991</v>
      </c>
    </row>
    <row r="26" spans="1:5" x14ac:dyDescent="0.2">
      <c r="A26" s="128">
        <v>42401</v>
      </c>
      <c r="B26" s="129">
        <f t="shared" si="1"/>
        <v>-1.4718074999999997</v>
      </c>
    </row>
    <row r="27" spans="1:5" x14ac:dyDescent="0.2">
      <c r="A27" s="128">
        <v>42430</v>
      </c>
      <c r="B27" s="129">
        <f t="shared" si="1"/>
        <v>-0.11903949999999952</v>
      </c>
    </row>
    <row r="28" spans="1:5" x14ac:dyDescent="0.2">
      <c r="A28" s="128">
        <v>42461</v>
      </c>
      <c r="B28" s="129">
        <f t="shared" si="1"/>
        <v>-0.49993649999999956</v>
      </c>
    </row>
    <row r="29" spans="1:5" x14ac:dyDescent="0.2">
      <c r="A29" s="128">
        <v>42491</v>
      </c>
      <c r="B29" s="129">
        <f t="shared" si="1"/>
        <v>0.57596950000000025</v>
      </c>
    </row>
    <row r="30" spans="1:5" x14ac:dyDescent="0.2">
      <c r="A30" s="128">
        <v>42522</v>
      </c>
      <c r="B30" s="129">
        <f t="shared" si="1"/>
        <v>0.56773050000000058</v>
      </c>
    </row>
    <row r="31" spans="1:5" x14ac:dyDescent="0.2">
      <c r="A31" s="128">
        <v>42552</v>
      </c>
      <c r="B31" s="129">
        <f t="shared" si="1"/>
        <v>1.2949595</v>
      </c>
    </row>
    <row r="32" spans="1:5" x14ac:dyDescent="0.2">
      <c r="A32" s="128">
        <v>42583</v>
      </c>
      <c r="B32" s="129">
        <f t="shared" si="1"/>
        <v>1.1375615000000003</v>
      </c>
    </row>
    <row r="33" spans="1:5" x14ac:dyDescent="0.2">
      <c r="A33" s="128">
        <v>42614</v>
      </c>
      <c r="B33" s="129">
        <f t="shared" si="1"/>
        <v>3.0897500000000022E-2</v>
      </c>
    </row>
    <row r="34" spans="1:5" x14ac:dyDescent="0.2">
      <c r="A34" s="116" t="s">
        <v>16</v>
      </c>
      <c r="B34" s="131">
        <f>SUM(B22:B33)</f>
        <v>2.6645352591003757E-15</v>
      </c>
    </row>
    <row r="35" spans="1:5" x14ac:dyDescent="0.2">
      <c r="B35" s="131"/>
      <c r="C35" s="131"/>
      <c r="D35" s="131"/>
      <c r="E35" s="131"/>
    </row>
    <row r="36" spans="1:5" x14ac:dyDescent="0.2">
      <c r="A36" s="116" t="s">
        <v>40</v>
      </c>
      <c r="B36" s="125"/>
      <c r="C36" s="111"/>
      <c r="D36" s="111"/>
      <c r="E36" s="111"/>
    </row>
    <row r="37" spans="1:5" x14ac:dyDescent="0.2">
      <c r="A37" s="116" t="s">
        <v>21</v>
      </c>
      <c r="B37" s="118" t="s">
        <v>145</v>
      </c>
      <c r="C37" s="126"/>
      <c r="D37" s="127"/>
      <c r="E37" s="127"/>
    </row>
    <row r="38" spans="1:5" x14ac:dyDescent="0.2">
      <c r="A38" s="128">
        <v>42278</v>
      </c>
      <c r="B38" s="129">
        <f>B4-B3</f>
        <v>0.13619100000000017</v>
      </c>
    </row>
    <row r="39" spans="1:5" x14ac:dyDescent="0.2">
      <c r="A39" s="128">
        <v>42309</v>
      </c>
      <c r="B39" s="129">
        <f>B5-B4</f>
        <v>-0.33805400000000052</v>
      </c>
      <c r="C39" s="132"/>
    </row>
    <row r="40" spans="1:5" x14ac:dyDescent="0.2">
      <c r="A40" s="128">
        <v>42339</v>
      </c>
      <c r="B40" s="129">
        <f t="shared" ref="B40:B49" si="2">B6-B5</f>
        <v>5.4140000000000299E-3</v>
      </c>
      <c r="C40" s="132"/>
    </row>
    <row r="41" spans="1:5" x14ac:dyDescent="0.2">
      <c r="A41" s="128">
        <v>42370</v>
      </c>
      <c r="B41" s="129">
        <f t="shared" si="2"/>
        <v>8.9761000000000202E-2</v>
      </c>
      <c r="C41" s="132"/>
    </row>
    <row r="42" spans="1:5" x14ac:dyDescent="0.2">
      <c r="A42" s="128">
        <v>42401</v>
      </c>
      <c r="B42" s="129">
        <f t="shared" si="2"/>
        <v>-1.0782379999999998</v>
      </c>
      <c r="C42" s="132"/>
    </row>
    <row r="43" spans="1:5" x14ac:dyDescent="0.2">
      <c r="A43" s="128">
        <v>42430</v>
      </c>
      <c r="B43" s="129">
        <f t="shared" si="2"/>
        <v>1.3527680000000002</v>
      </c>
      <c r="C43" s="132"/>
    </row>
    <row r="44" spans="1:5" x14ac:dyDescent="0.2">
      <c r="A44" s="128">
        <v>42461</v>
      </c>
      <c r="B44" s="129">
        <f t="shared" si="2"/>
        <v>-0.38089700000000004</v>
      </c>
      <c r="C44" s="132"/>
    </row>
    <row r="45" spans="1:5" x14ac:dyDescent="0.2">
      <c r="A45" s="128">
        <v>42491</v>
      </c>
      <c r="B45" s="129">
        <f t="shared" si="2"/>
        <v>1.0759059999999998</v>
      </c>
      <c r="C45" s="132"/>
    </row>
    <row r="46" spans="1:5" x14ac:dyDescent="0.2">
      <c r="A46" s="128">
        <v>42522</v>
      </c>
      <c r="B46" s="129">
        <f t="shared" si="2"/>
        <v>-8.2389999999996633E-3</v>
      </c>
      <c r="C46" s="132"/>
    </row>
    <row r="47" spans="1:5" x14ac:dyDescent="0.2">
      <c r="A47" s="128">
        <v>42552</v>
      </c>
      <c r="B47" s="129">
        <f t="shared" si="2"/>
        <v>0.72722899999999946</v>
      </c>
      <c r="C47" s="132"/>
    </row>
    <row r="48" spans="1:5" x14ac:dyDescent="0.2">
      <c r="A48" s="128">
        <v>42583</v>
      </c>
      <c r="B48" s="129">
        <f t="shared" si="2"/>
        <v>-0.1573979999999997</v>
      </c>
      <c r="C48" s="132"/>
    </row>
    <row r="49" spans="1:9" x14ac:dyDescent="0.2">
      <c r="A49" s="128">
        <v>42614</v>
      </c>
      <c r="B49" s="129">
        <f t="shared" si="2"/>
        <v>-1.1066640000000003</v>
      </c>
      <c r="C49" s="132"/>
      <c r="F49" s="132"/>
    </row>
    <row r="50" spans="1:9" x14ac:dyDescent="0.2">
      <c r="A50" s="116" t="s">
        <v>16</v>
      </c>
      <c r="B50" s="129">
        <f>SUM(B38:B49)</f>
        <v>0.31777899999999981</v>
      </c>
      <c r="F50" s="132"/>
    </row>
    <row r="54" spans="1:9" x14ac:dyDescent="0.2">
      <c r="A54" s="115" t="s">
        <v>42</v>
      </c>
    </row>
    <row r="55" spans="1:9" x14ac:dyDescent="0.2">
      <c r="A55" s="117" t="s">
        <v>32</v>
      </c>
      <c r="B55" s="118" t="s">
        <v>145</v>
      </c>
      <c r="D55" s="117" t="s">
        <v>43</v>
      </c>
      <c r="E55" s="118" t="s">
        <v>145</v>
      </c>
    </row>
    <row r="56" spans="1:9" x14ac:dyDescent="0.2">
      <c r="A56" s="119" t="s">
        <v>146</v>
      </c>
      <c r="B56" s="120">
        <f t="shared" ref="B56:B68" si="3">E56/1024</f>
        <v>60.358936870249565</v>
      </c>
      <c r="D56" s="119" t="s">
        <v>146</v>
      </c>
      <c r="E56" s="121">
        <v>61807.551355135554</v>
      </c>
    </row>
    <row r="57" spans="1:9" x14ac:dyDescent="0.2">
      <c r="A57" s="108" t="s">
        <v>147</v>
      </c>
      <c r="B57" s="120">
        <f t="shared" si="3"/>
        <v>59.580154894694545</v>
      </c>
      <c r="D57" s="108" t="s">
        <v>113</v>
      </c>
      <c r="E57" s="121">
        <v>61010.078612167214</v>
      </c>
    </row>
    <row r="58" spans="1:9" x14ac:dyDescent="0.2">
      <c r="A58" s="108" t="s">
        <v>148</v>
      </c>
      <c r="B58" s="120">
        <f t="shared" si="3"/>
        <v>54.075915308249847</v>
      </c>
      <c r="D58" s="108" t="s">
        <v>114</v>
      </c>
      <c r="E58" s="121">
        <v>55373.737275647843</v>
      </c>
    </row>
    <row r="59" spans="1:9" x14ac:dyDescent="0.2">
      <c r="A59" s="108" t="s">
        <v>149</v>
      </c>
      <c r="B59" s="120">
        <f t="shared" si="3"/>
        <v>53.842095953964318</v>
      </c>
      <c r="D59" s="108" t="s">
        <v>115</v>
      </c>
      <c r="E59" s="121">
        <v>55134.306256859461</v>
      </c>
      <c r="I59" s="124" t="s">
        <v>150</v>
      </c>
    </row>
    <row r="60" spans="1:9" x14ac:dyDescent="0.2">
      <c r="A60" s="108" t="s">
        <v>151</v>
      </c>
      <c r="B60" s="120">
        <f t="shared" si="3"/>
        <v>60.662291611509218</v>
      </c>
      <c r="D60" s="108" t="s">
        <v>103</v>
      </c>
      <c r="E60" s="121">
        <v>62118.186610185439</v>
      </c>
    </row>
    <row r="61" spans="1:9" x14ac:dyDescent="0.2">
      <c r="A61" s="108" t="s">
        <v>152</v>
      </c>
      <c r="B61" s="120">
        <f t="shared" si="3"/>
        <v>51.434645793256834</v>
      </c>
      <c r="D61" s="108" t="s">
        <v>104</v>
      </c>
      <c r="E61" s="121">
        <v>52669.077292294998</v>
      </c>
    </row>
    <row r="62" spans="1:9" x14ac:dyDescent="0.2">
      <c r="A62" s="108" t="s">
        <v>153</v>
      </c>
      <c r="B62" s="120">
        <f t="shared" si="3"/>
        <v>62.184811519333238</v>
      </c>
      <c r="D62" s="108" t="s">
        <v>105</v>
      </c>
      <c r="E62" s="121">
        <v>63677.246995797235</v>
      </c>
    </row>
    <row r="63" spans="1:9" x14ac:dyDescent="0.2">
      <c r="A63" s="108" t="s">
        <v>154</v>
      </c>
      <c r="B63" s="120">
        <f t="shared" si="3"/>
        <v>60.529645417275603</v>
      </c>
      <c r="D63" s="108" t="s">
        <v>106</v>
      </c>
      <c r="E63" s="121">
        <v>61982.356907290217</v>
      </c>
    </row>
    <row r="64" spans="1:9" x14ac:dyDescent="0.2">
      <c r="A64" s="108" t="s">
        <v>155</v>
      </c>
      <c r="B64" s="120">
        <f t="shared" si="3"/>
        <v>68.465637890567336</v>
      </c>
      <c r="D64" s="108" t="s">
        <v>107</v>
      </c>
      <c r="E64" s="121">
        <v>70108.813199940952</v>
      </c>
    </row>
    <row r="65" spans="1:5" x14ac:dyDescent="0.2">
      <c r="A65" s="108" t="s">
        <v>156</v>
      </c>
      <c r="B65" s="120">
        <f t="shared" si="3"/>
        <v>73.925462072954289</v>
      </c>
      <c r="D65" s="108" t="s">
        <v>108</v>
      </c>
      <c r="E65" s="121">
        <v>75699.673162705192</v>
      </c>
    </row>
    <row r="66" spans="1:5" x14ac:dyDescent="0.2">
      <c r="A66" s="108" t="s">
        <v>157</v>
      </c>
      <c r="B66" s="120">
        <f t="shared" si="3"/>
        <v>71.738106628573334</v>
      </c>
      <c r="D66" s="108" t="s">
        <v>109</v>
      </c>
      <c r="E66" s="121">
        <v>73459.821187659094</v>
      </c>
    </row>
    <row r="67" spans="1:5" x14ac:dyDescent="0.2">
      <c r="A67" s="108" t="s">
        <v>158</v>
      </c>
      <c r="B67" s="120">
        <f t="shared" si="3"/>
        <v>78.004814020232416</v>
      </c>
      <c r="D67" s="108" t="s">
        <v>110</v>
      </c>
      <c r="E67" s="121">
        <v>79876.929556717994</v>
      </c>
    </row>
    <row r="68" spans="1:5" x14ac:dyDescent="0.2">
      <c r="A68" s="108" t="s">
        <v>146</v>
      </c>
      <c r="B68" s="120">
        <f t="shared" si="3"/>
        <v>68.604058139019656</v>
      </c>
      <c r="D68" s="108" t="s">
        <v>111</v>
      </c>
      <c r="E68" s="121">
        <v>70250.555534356128</v>
      </c>
    </row>
    <row r="69" spans="1:5" x14ac:dyDescent="0.2">
      <c r="A69" s="122" t="s">
        <v>20</v>
      </c>
      <c r="B69" s="120">
        <f>SUM(B57:B68)</f>
        <v>763.04763924963061</v>
      </c>
      <c r="D69" s="122" t="s">
        <v>20</v>
      </c>
      <c r="E69" s="121">
        <f>SUM(E57:E68)</f>
        <v>781360.78259162174</v>
      </c>
    </row>
    <row r="70" spans="1:5" x14ac:dyDescent="0.2">
      <c r="A70" s="116" t="s">
        <v>38</v>
      </c>
      <c r="B70" s="123">
        <f>AVERAGE(B57:B68)</f>
        <v>63.587303270802551</v>
      </c>
    </row>
    <row r="71" spans="1:5" x14ac:dyDescent="0.2">
      <c r="A71" s="124" t="s">
        <v>129</v>
      </c>
      <c r="B71" s="123">
        <v>786.37</v>
      </c>
    </row>
    <row r="73" spans="1:5" x14ac:dyDescent="0.2">
      <c r="A73" s="116" t="s">
        <v>39</v>
      </c>
      <c r="B73" s="125"/>
      <c r="C73" s="111"/>
      <c r="D73" s="111"/>
      <c r="E73" s="111"/>
    </row>
    <row r="74" spans="1:5" x14ac:dyDescent="0.2">
      <c r="A74" s="116" t="s">
        <v>21</v>
      </c>
      <c r="B74" s="118" t="s">
        <v>145</v>
      </c>
      <c r="C74" s="126"/>
      <c r="D74" s="127"/>
      <c r="E74" s="127"/>
    </row>
    <row r="75" spans="1:5" x14ac:dyDescent="0.2">
      <c r="A75" s="128">
        <v>42278</v>
      </c>
      <c r="B75" s="129">
        <f>B57-B$70</f>
        <v>-4.007148376108006</v>
      </c>
      <c r="C75" s="130"/>
      <c r="D75" s="130"/>
    </row>
    <row r="76" spans="1:5" x14ac:dyDescent="0.2">
      <c r="A76" s="128">
        <v>42309</v>
      </c>
      <c r="B76" s="129">
        <f t="shared" ref="B76:B86" si="4">B58-B$70</f>
        <v>-9.5113879625527034</v>
      </c>
    </row>
    <row r="77" spans="1:5" x14ac:dyDescent="0.2">
      <c r="A77" s="128">
        <v>42339</v>
      </c>
      <c r="B77" s="129">
        <f t="shared" si="4"/>
        <v>-9.7452073168382327</v>
      </c>
    </row>
    <row r="78" spans="1:5" x14ac:dyDescent="0.2">
      <c r="A78" s="128">
        <v>42370</v>
      </c>
      <c r="B78" s="129">
        <f t="shared" si="4"/>
        <v>-2.9250116592933324</v>
      </c>
    </row>
    <row r="79" spans="1:5" x14ac:dyDescent="0.2">
      <c r="A79" s="128">
        <v>42401</v>
      </c>
      <c r="B79" s="129">
        <f t="shared" si="4"/>
        <v>-12.152657477545716</v>
      </c>
    </row>
    <row r="80" spans="1:5" x14ac:dyDescent="0.2">
      <c r="A80" s="128">
        <v>42430</v>
      </c>
      <c r="B80" s="129">
        <f t="shared" si="4"/>
        <v>-1.4024917514693129</v>
      </c>
    </row>
    <row r="81" spans="1:5" x14ac:dyDescent="0.2">
      <c r="A81" s="128">
        <v>42461</v>
      </c>
      <c r="B81" s="129">
        <f t="shared" si="4"/>
        <v>-3.0576578535269476</v>
      </c>
    </row>
    <row r="82" spans="1:5" x14ac:dyDescent="0.2">
      <c r="A82" s="128">
        <v>42491</v>
      </c>
      <c r="B82" s="129">
        <f t="shared" si="4"/>
        <v>4.8783346197647859</v>
      </c>
    </row>
    <row r="83" spans="1:5" x14ac:dyDescent="0.2">
      <c r="A83" s="128">
        <v>42522</v>
      </c>
      <c r="B83" s="129">
        <f t="shared" si="4"/>
        <v>10.338158802151739</v>
      </c>
    </row>
    <row r="84" spans="1:5" x14ac:dyDescent="0.2">
      <c r="A84" s="128">
        <v>42552</v>
      </c>
      <c r="B84" s="129">
        <f t="shared" si="4"/>
        <v>8.1508033577707835</v>
      </c>
    </row>
    <row r="85" spans="1:5" x14ac:dyDescent="0.2">
      <c r="A85" s="128">
        <v>42583</v>
      </c>
      <c r="B85" s="129">
        <f t="shared" si="4"/>
        <v>14.417510749429866</v>
      </c>
    </row>
    <row r="86" spans="1:5" x14ac:dyDescent="0.2">
      <c r="A86" s="128">
        <v>42614</v>
      </c>
      <c r="B86" s="129">
        <f t="shared" si="4"/>
        <v>5.0167548682171059</v>
      </c>
    </row>
    <row r="87" spans="1:5" x14ac:dyDescent="0.2">
      <c r="A87" s="116" t="s">
        <v>16</v>
      </c>
      <c r="B87" s="131">
        <f>SUM(B75:B86)</f>
        <v>2.8421709430404007E-14</v>
      </c>
    </row>
    <row r="88" spans="1:5" x14ac:dyDescent="0.2">
      <c r="B88" s="131"/>
      <c r="C88" s="131"/>
      <c r="D88" s="131"/>
      <c r="E88" s="131"/>
    </row>
    <row r="89" spans="1:5" x14ac:dyDescent="0.2">
      <c r="A89" s="116" t="s">
        <v>40</v>
      </c>
      <c r="B89" s="125"/>
      <c r="C89" s="111"/>
      <c r="D89" s="111"/>
      <c r="E89" s="111"/>
    </row>
    <row r="90" spans="1:5" x14ac:dyDescent="0.2">
      <c r="A90" s="116" t="s">
        <v>21</v>
      </c>
      <c r="B90" s="118" t="s">
        <v>145</v>
      </c>
      <c r="C90" s="126"/>
      <c r="D90" s="127"/>
      <c r="E90" s="127"/>
    </row>
    <row r="91" spans="1:5" x14ac:dyDescent="0.2">
      <c r="A91" s="128">
        <v>42278</v>
      </c>
      <c r="B91" s="129">
        <f>B57-B56</f>
        <v>-0.77878197555502027</v>
      </c>
    </row>
    <row r="92" spans="1:5" x14ac:dyDescent="0.2">
      <c r="A92" s="128">
        <v>42309</v>
      </c>
      <c r="B92" s="129">
        <f>B58-B57</f>
        <v>-5.5042395864446974</v>
      </c>
      <c r="C92" s="132"/>
    </row>
    <row r="93" spans="1:5" x14ac:dyDescent="0.2">
      <c r="A93" s="128">
        <v>42339</v>
      </c>
      <c r="B93" s="129">
        <f t="shared" ref="B93:B102" si="5">B59-B58</f>
        <v>-0.23381935428552936</v>
      </c>
      <c r="C93" s="132"/>
    </row>
    <row r="94" spans="1:5" x14ac:dyDescent="0.2">
      <c r="A94" s="128">
        <v>42370</v>
      </c>
      <c r="B94" s="129">
        <f t="shared" si="5"/>
        <v>6.8201956575449003</v>
      </c>
      <c r="C94" s="132"/>
    </row>
    <row r="95" spans="1:5" x14ac:dyDescent="0.2">
      <c r="A95" s="128">
        <v>42401</v>
      </c>
      <c r="B95" s="129">
        <f t="shared" si="5"/>
        <v>-9.2276458182523839</v>
      </c>
      <c r="C95" s="132"/>
    </row>
    <row r="96" spans="1:5" x14ac:dyDescent="0.2">
      <c r="A96" s="128">
        <v>42430</v>
      </c>
      <c r="B96" s="129">
        <f t="shared" si="5"/>
        <v>10.750165726076403</v>
      </c>
      <c r="C96" s="132"/>
    </row>
    <row r="97" spans="1:3" x14ac:dyDescent="0.2">
      <c r="A97" s="128">
        <v>42461</v>
      </c>
      <c r="B97" s="129">
        <f t="shared" si="5"/>
        <v>-1.6551661020576347</v>
      </c>
      <c r="C97" s="132"/>
    </row>
    <row r="98" spans="1:3" x14ac:dyDescent="0.2">
      <c r="A98" s="128">
        <v>42491</v>
      </c>
      <c r="B98" s="129">
        <f t="shared" si="5"/>
        <v>7.9359924732917335</v>
      </c>
      <c r="C98" s="132"/>
    </row>
    <row r="99" spans="1:3" x14ac:dyDescent="0.2">
      <c r="A99" s="128">
        <v>42522</v>
      </c>
      <c r="B99" s="129">
        <f t="shared" si="5"/>
        <v>5.4598241823869529</v>
      </c>
      <c r="C99" s="132"/>
    </row>
    <row r="100" spans="1:3" x14ac:dyDescent="0.2">
      <c r="A100" s="128">
        <v>42552</v>
      </c>
      <c r="B100" s="129">
        <f t="shared" si="5"/>
        <v>-2.1873554443809553</v>
      </c>
      <c r="C100" s="132"/>
    </row>
    <row r="101" spans="1:3" x14ac:dyDescent="0.2">
      <c r="A101" s="128">
        <v>42583</v>
      </c>
      <c r="B101" s="129">
        <f t="shared" si="5"/>
        <v>6.2667073916590823</v>
      </c>
      <c r="C101" s="132"/>
    </row>
    <row r="102" spans="1:3" x14ac:dyDescent="0.2">
      <c r="A102" s="128">
        <v>42614</v>
      </c>
      <c r="B102" s="129">
        <f t="shared" si="5"/>
        <v>-9.4007558812127598</v>
      </c>
      <c r="C102" s="132"/>
    </row>
    <row r="106" spans="1:3" x14ac:dyDescent="0.2">
      <c r="A106" s="115" t="s">
        <v>44</v>
      </c>
    </row>
    <row r="107" spans="1:3" x14ac:dyDescent="0.2">
      <c r="A107" s="117" t="s">
        <v>26</v>
      </c>
      <c r="B107" s="118" t="s">
        <v>145</v>
      </c>
    </row>
    <row r="108" spans="1:3" x14ac:dyDescent="0.2">
      <c r="A108" s="119" t="s">
        <v>146</v>
      </c>
      <c r="B108" s="133">
        <v>428</v>
      </c>
    </row>
    <row r="109" spans="1:3" x14ac:dyDescent="0.2">
      <c r="A109" s="108" t="s">
        <v>113</v>
      </c>
      <c r="B109" s="134">
        <v>319</v>
      </c>
    </row>
    <row r="110" spans="1:3" x14ac:dyDescent="0.2">
      <c r="A110" s="108" t="s">
        <v>114</v>
      </c>
      <c r="B110" s="135">
        <v>301</v>
      </c>
    </row>
    <row r="111" spans="1:3" x14ac:dyDescent="0.2">
      <c r="A111" s="108" t="s">
        <v>115</v>
      </c>
      <c r="B111" s="135">
        <v>313</v>
      </c>
    </row>
    <row r="112" spans="1:3" x14ac:dyDescent="0.2">
      <c r="A112" s="108" t="s">
        <v>103</v>
      </c>
      <c r="B112" s="135">
        <v>271</v>
      </c>
    </row>
    <row r="113" spans="1:5" x14ac:dyDescent="0.2">
      <c r="A113" s="108" t="s">
        <v>104</v>
      </c>
      <c r="B113" s="135">
        <v>344</v>
      </c>
    </row>
    <row r="114" spans="1:5" x14ac:dyDescent="0.2">
      <c r="A114" s="108" t="s">
        <v>105</v>
      </c>
      <c r="B114" s="135">
        <v>339</v>
      </c>
    </row>
    <row r="115" spans="1:5" x14ac:dyDescent="0.2">
      <c r="A115" s="108" t="s">
        <v>106</v>
      </c>
      <c r="B115" s="135">
        <v>385</v>
      </c>
    </row>
    <row r="116" spans="1:5" x14ac:dyDescent="0.2">
      <c r="A116" s="108" t="s">
        <v>107</v>
      </c>
      <c r="B116" s="135">
        <v>316</v>
      </c>
    </row>
    <row r="117" spans="1:5" x14ac:dyDescent="0.2">
      <c r="A117" s="108" t="s">
        <v>108</v>
      </c>
      <c r="B117" s="135">
        <v>353</v>
      </c>
    </row>
    <row r="118" spans="1:5" x14ac:dyDescent="0.2">
      <c r="A118" s="108" t="s">
        <v>109</v>
      </c>
      <c r="B118" s="135">
        <v>364</v>
      </c>
    </row>
    <row r="119" spans="1:5" x14ac:dyDescent="0.2">
      <c r="A119" s="108" t="s">
        <v>110</v>
      </c>
      <c r="B119" s="135">
        <v>386</v>
      </c>
    </row>
    <row r="120" spans="1:5" x14ac:dyDescent="0.2">
      <c r="A120" s="108" t="s">
        <v>111</v>
      </c>
      <c r="B120" s="135">
        <v>368</v>
      </c>
    </row>
    <row r="121" spans="1:5" x14ac:dyDescent="0.2">
      <c r="A121" s="122" t="s">
        <v>20</v>
      </c>
      <c r="B121" s="135">
        <f>SUM(B109:B120)</f>
        <v>4059</v>
      </c>
    </row>
    <row r="122" spans="1:5" x14ac:dyDescent="0.2">
      <c r="A122" s="116" t="s">
        <v>38</v>
      </c>
      <c r="B122" s="63">
        <f>AVERAGE(B109:B120)</f>
        <v>338.25</v>
      </c>
    </row>
    <row r="123" spans="1:5" x14ac:dyDescent="0.2">
      <c r="A123" s="124" t="s">
        <v>140</v>
      </c>
      <c r="B123" s="63">
        <v>1975</v>
      </c>
      <c r="C123" s="136">
        <f>(B123-B124)/B124</f>
        <v>0.36583679114799444</v>
      </c>
    </row>
    <row r="124" spans="1:5" x14ac:dyDescent="0.2">
      <c r="A124" s="124" t="s">
        <v>129</v>
      </c>
      <c r="B124" s="63">
        <v>1446</v>
      </c>
    </row>
    <row r="125" spans="1:5" x14ac:dyDescent="0.2">
      <c r="C125" s="111"/>
      <c r="D125" s="111"/>
      <c r="E125" s="111"/>
    </row>
    <row r="126" spans="1:5" x14ac:dyDescent="0.2">
      <c r="A126" s="115" t="s">
        <v>39</v>
      </c>
      <c r="B126" s="125"/>
      <c r="C126" s="127"/>
      <c r="D126" s="127"/>
      <c r="E126" s="127"/>
    </row>
    <row r="127" spans="1:5" x14ac:dyDescent="0.2">
      <c r="A127" s="116" t="s">
        <v>21</v>
      </c>
      <c r="B127" s="118" t="s">
        <v>145</v>
      </c>
      <c r="C127" s="130"/>
      <c r="D127" s="130"/>
    </row>
    <row r="128" spans="1:5" x14ac:dyDescent="0.2">
      <c r="A128" s="128">
        <v>42278</v>
      </c>
      <c r="B128" s="137">
        <f t="shared" ref="B128:B139" si="6">B109-B$122</f>
        <v>-19.25</v>
      </c>
    </row>
    <row r="129" spans="1:5" x14ac:dyDescent="0.2">
      <c r="A129" s="128">
        <v>42309</v>
      </c>
      <c r="B129" s="137">
        <f t="shared" si="6"/>
        <v>-37.25</v>
      </c>
    </row>
    <row r="130" spans="1:5" x14ac:dyDescent="0.2">
      <c r="A130" s="128">
        <v>42339</v>
      </c>
      <c r="B130" s="137">
        <f t="shared" si="6"/>
        <v>-25.25</v>
      </c>
    </row>
    <row r="131" spans="1:5" x14ac:dyDescent="0.2">
      <c r="A131" s="128">
        <v>42370</v>
      </c>
      <c r="B131" s="137">
        <f t="shared" si="6"/>
        <v>-67.25</v>
      </c>
    </row>
    <row r="132" spans="1:5" x14ac:dyDescent="0.2">
      <c r="A132" s="128">
        <v>42401</v>
      </c>
      <c r="B132" s="137">
        <f t="shared" si="6"/>
        <v>5.75</v>
      </c>
    </row>
    <row r="133" spans="1:5" x14ac:dyDescent="0.2">
      <c r="A133" s="128">
        <v>42430</v>
      </c>
      <c r="B133" s="137">
        <f t="shared" si="6"/>
        <v>0.75</v>
      </c>
    </row>
    <row r="134" spans="1:5" x14ac:dyDescent="0.2">
      <c r="A134" s="128">
        <v>42461</v>
      </c>
      <c r="B134" s="137">
        <f t="shared" si="6"/>
        <v>46.75</v>
      </c>
    </row>
    <row r="135" spans="1:5" x14ac:dyDescent="0.2">
      <c r="A135" s="128">
        <v>42491</v>
      </c>
      <c r="B135" s="137">
        <f t="shared" si="6"/>
        <v>-22.25</v>
      </c>
    </row>
    <row r="136" spans="1:5" x14ac:dyDescent="0.2">
      <c r="A136" s="128">
        <v>42522</v>
      </c>
      <c r="B136" s="137">
        <f t="shared" si="6"/>
        <v>14.75</v>
      </c>
    </row>
    <row r="137" spans="1:5" x14ac:dyDescent="0.2">
      <c r="A137" s="128">
        <v>42552</v>
      </c>
      <c r="B137" s="137">
        <f t="shared" si="6"/>
        <v>25.75</v>
      </c>
    </row>
    <row r="138" spans="1:5" x14ac:dyDescent="0.2">
      <c r="A138" s="128">
        <v>42583</v>
      </c>
      <c r="B138" s="137">
        <f t="shared" si="6"/>
        <v>47.75</v>
      </c>
    </row>
    <row r="139" spans="1:5" x14ac:dyDescent="0.2">
      <c r="A139" s="128">
        <v>42614</v>
      </c>
      <c r="B139" s="137">
        <f t="shared" si="6"/>
        <v>29.75</v>
      </c>
    </row>
    <row r="140" spans="1:5" x14ac:dyDescent="0.2">
      <c r="A140" s="116" t="s">
        <v>16</v>
      </c>
      <c r="B140" s="63">
        <f>SUM(B128:B139)</f>
        <v>0</v>
      </c>
      <c r="C140" s="131"/>
      <c r="D140" s="131"/>
      <c r="E140" s="131"/>
    </row>
    <row r="141" spans="1:5" x14ac:dyDescent="0.2">
      <c r="B141" s="131"/>
      <c r="C141" s="111"/>
      <c r="D141" s="111"/>
      <c r="E141" s="111"/>
    </row>
    <row r="142" spans="1:5" x14ac:dyDescent="0.2">
      <c r="A142" s="115" t="s">
        <v>40</v>
      </c>
      <c r="B142" s="138"/>
      <c r="C142" s="127"/>
      <c r="D142" s="127"/>
      <c r="E142" s="127"/>
    </row>
    <row r="143" spans="1:5" x14ac:dyDescent="0.2">
      <c r="A143" s="139" t="s">
        <v>21</v>
      </c>
      <c r="B143" s="118" t="s">
        <v>145</v>
      </c>
    </row>
    <row r="144" spans="1:5" x14ac:dyDescent="0.2">
      <c r="A144" s="128">
        <v>42278</v>
      </c>
      <c r="B144" s="129">
        <f>B109-B108</f>
        <v>-109</v>
      </c>
      <c r="C144" s="132"/>
    </row>
    <row r="145" spans="1:5" x14ac:dyDescent="0.2">
      <c r="A145" s="128">
        <v>42309</v>
      </c>
      <c r="B145" s="129">
        <f>B110-B109</f>
        <v>-18</v>
      </c>
      <c r="C145" s="132"/>
    </row>
    <row r="146" spans="1:5" x14ac:dyDescent="0.2">
      <c r="A146" s="128">
        <v>42339</v>
      </c>
      <c r="B146" s="129">
        <f t="shared" ref="B146:B155" si="7">B111-B110</f>
        <v>12</v>
      </c>
      <c r="C146" s="132"/>
    </row>
    <row r="147" spans="1:5" x14ac:dyDescent="0.2">
      <c r="A147" s="128">
        <v>42370</v>
      </c>
      <c r="B147" s="129">
        <f t="shared" si="7"/>
        <v>-42</v>
      </c>
      <c r="C147" s="132"/>
    </row>
    <row r="148" spans="1:5" x14ac:dyDescent="0.2">
      <c r="A148" s="128">
        <v>42401</v>
      </c>
      <c r="B148" s="129">
        <f t="shared" si="7"/>
        <v>73</v>
      </c>
      <c r="C148" s="132"/>
    </row>
    <row r="149" spans="1:5" x14ac:dyDescent="0.2">
      <c r="A149" s="128">
        <v>42430</v>
      </c>
      <c r="B149" s="129">
        <f t="shared" si="7"/>
        <v>-5</v>
      </c>
      <c r="C149" s="132"/>
    </row>
    <row r="150" spans="1:5" x14ac:dyDescent="0.2">
      <c r="A150" s="128">
        <v>42461</v>
      </c>
      <c r="B150" s="129">
        <f t="shared" si="7"/>
        <v>46</v>
      </c>
      <c r="C150" s="132"/>
    </row>
    <row r="151" spans="1:5" x14ac:dyDescent="0.2">
      <c r="A151" s="128">
        <v>42491</v>
      </c>
      <c r="B151" s="129">
        <f t="shared" si="7"/>
        <v>-69</v>
      </c>
      <c r="C151" s="132"/>
    </row>
    <row r="152" spans="1:5" x14ac:dyDescent="0.2">
      <c r="A152" s="128">
        <v>42522</v>
      </c>
      <c r="B152" s="129">
        <f t="shared" si="7"/>
        <v>37</v>
      </c>
      <c r="C152" s="132"/>
    </row>
    <row r="153" spans="1:5" x14ac:dyDescent="0.2">
      <c r="A153" s="128">
        <v>42552</v>
      </c>
      <c r="B153" s="129">
        <f t="shared" si="7"/>
        <v>11</v>
      </c>
      <c r="C153" s="132"/>
    </row>
    <row r="154" spans="1:5" x14ac:dyDescent="0.2">
      <c r="A154" s="128">
        <v>42583</v>
      </c>
      <c r="B154" s="129">
        <f t="shared" si="7"/>
        <v>22</v>
      </c>
      <c r="C154" s="132"/>
    </row>
    <row r="155" spans="1:5" ht="12.75" customHeight="1" x14ac:dyDescent="0.2">
      <c r="A155" s="128">
        <v>42614</v>
      </c>
      <c r="B155" s="129">
        <f t="shared" si="7"/>
        <v>-18</v>
      </c>
    </row>
    <row r="157" spans="1:5" x14ac:dyDescent="0.2">
      <c r="C157" s="112"/>
      <c r="D157" s="140"/>
      <c r="E157" s="140"/>
    </row>
    <row r="158" spans="1:5" x14ac:dyDescent="0.2">
      <c r="A158" s="115" t="s">
        <v>159</v>
      </c>
      <c r="B158" s="112"/>
      <c r="C158" s="112"/>
      <c r="D158" s="141"/>
      <c r="E158" s="127"/>
    </row>
    <row r="159" spans="1:5" x14ac:dyDescent="0.2">
      <c r="A159" s="142" t="s">
        <v>57</v>
      </c>
      <c r="B159" s="143" t="s">
        <v>160</v>
      </c>
      <c r="C159" s="143" t="s">
        <v>161</v>
      </c>
      <c r="D159" s="123"/>
    </row>
    <row r="160" spans="1:5" x14ac:dyDescent="0.2">
      <c r="A160" s="144" t="s">
        <v>49</v>
      </c>
      <c r="B160" s="145">
        <f t="shared" ref="B160:B165" si="8">C160/52</f>
        <v>0</v>
      </c>
      <c r="C160" s="145"/>
      <c r="D160" s="123"/>
    </row>
    <row r="161" spans="1:8" x14ac:dyDescent="0.2">
      <c r="A161" s="146" t="s">
        <v>50</v>
      </c>
      <c r="B161" s="145">
        <f t="shared" si="8"/>
        <v>0</v>
      </c>
      <c r="C161" s="145"/>
      <c r="D161" s="123"/>
    </row>
    <row r="162" spans="1:8" x14ac:dyDescent="0.2">
      <c r="A162" s="146" t="s">
        <v>51</v>
      </c>
      <c r="B162" s="145">
        <f t="shared" si="8"/>
        <v>15.204008052518342</v>
      </c>
      <c r="C162" s="145">
        <v>790.60841873095376</v>
      </c>
      <c r="D162" s="123"/>
      <c r="G162"/>
      <c r="H162"/>
    </row>
    <row r="163" spans="1:8" x14ac:dyDescent="0.2">
      <c r="A163" s="146" t="s">
        <v>52</v>
      </c>
      <c r="B163" s="145">
        <f t="shared" si="8"/>
        <v>15.701408315805288</v>
      </c>
      <c r="C163" s="145">
        <v>816.47323242187497</v>
      </c>
      <c r="D163" s="123"/>
    </row>
    <row r="164" spans="1:8" x14ac:dyDescent="0.2">
      <c r="A164" s="146" t="s">
        <v>53</v>
      </c>
      <c r="B164" s="145">
        <f t="shared" si="8"/>
        <v>16.356479679987981</v>
      </c>
      <c r="C164" s="145">
        <v>850.53694335937496</v>
      </c>
      <c r="D164" s="123"/>
    </row>
    <row r="165" spans="1:8" ht="12.75" customHeight="1" x14ac:dyDescent="0.2">
      <c r="A165" s="146" t="s">
        <v>55</v>
      </c>
      <c r="B165" s="145">
        <f t="shared" si="8"/>
        <v>16.326743895168047</v>
      </c>
      <c r="C165" s="145">
        <v>848.9906825487385</v>
      </c>
    </row>
    <row r="166" spans="1:8" x14ac:dyDescent="0.2">
      <c r="A166" s="147" t="s">
        <v>120</v>
      </c>
      <c r="B166" s="145">
        <f>C166/52</f>
        <v>20.760576923076922</v>
      </c>
      <c r="C166" s="148">
        <v>1079.55</v>
      </c>
    </row>
    <row r="168" spans="1:8" x14ac:dyDescent="0.2">
      <c r="A168"/>
      <c r="D168" s="149"/>
      <c r="E168" s="149"/>
    </row>
    <row r="169" spans="1:8" x14ac:dyDescent="0.2">
      <c r="A169" s="150" t="s">
        <v>46</v>
      </c>
      <c r="B169" s="151" t="s">
        <v>145</v>
      </c>
      <c r="C169" s="152"/>
      <c r="D169"/>
      <c r="E169"/>
    </row>
    <row r="170" spans="1:8" x14ac:dyDescent="0.2">
      <c r="A170" s="153" t="s">
        <v>49</v>
      </c>
      <c r="B170" s="154"/>
      <c r="C170"/>
      <c r="D170"/>
      <c r="E170"/>
    </row>
    <row r="171" spans="1:8" x14ac:dyDescent="0.2">
      <c r="A171" s="153" t="s">
        <v>50</v>
      </c>
      <c r="B171" s="154"/>
      <c r="C171"/>
      <c r="D171"/>
      <c r="E171"/>
    </row>
    <row r="172" spans="1:8" x14ac:dyDescent="0.2">
      <c r="A172" s="153" t="s">
        <v>51</v>
      </c>
      <c r="B172" s="154"/>
      <c r="C172"/>
      <c r="D172"/>
      <c r="E172"/>
    </row>
    <row r="173" spans="1:8" x14ac:dyDescent="0.2">
      <c r="A173" s="153" t="s">
        <v>52</v>
      </c>
      <c r="B173" s="154"/>
      <c r="C173"/>
      <c r="D173"/>
      <c r="E173"/>
    </row>
    <row r="174" spans="1:8" x14ac:dyDescent="0.2">
      <c r="A174" s="153" t="s">
        <v>53</v>
      </c>
      <c r="B174" s="154"/>
      <c r="C174"/>
      <c r="D174"/>
      <c r="E174"/>
    </row>
    <row r="175" spans="1:8" x14ac:dyDescent="0.2">
      <c r="A175" s="153" t="s">
        <v>55</v>
      </c>
      <c r="B175" s="155"/>
      <c r="C175"/>
      <c r="D175"/>
      <c r="E175"/>
    </row>
    <row r="176" spans="1:8" x14ac:dyDescent="0.2">
      <c r="A176"/>
      <c r="B176"/>
      <c r="C176"/>
      <c r="D176"/>
      <c r="E176"/>
    </row>
    <row r="177" spans="1:5" x14ac:dyDescent="0.2">
      <c r="A177"/>
      <c r="B177"/>
      <c r="C177"/>
      <c r="D177"/>
      <c r="E177"/>
    </row>
    <row r="178" spans="1:5" x14ac:dyDescent="0.2">
      <c r="A178"/>
      <c r="B178"/>
      <c r="C178"/>
      <c r="D178"/>
      <c r="E178"/>
    </row>
    <row r="179" spans="1:5" x14ac:dyDescent="0.2">
      <c r="A179" s="58" t="s">
        <v>65</v>
      </c>
      <c r="B179"/>
      <c r="C179"/>
    </row>
    <row r="180" spans="1:5" x14ac:dyDescent="0.2">
      <c r="A180" s="151" t="s">
        <v>21</v>
      </c>
      <c r="B180" s="151" t="s">
        <v>145</v>
      </c>
    </row>
    <row r="181" spans="1:5" x14ac:dyDescent="0.2">
      <c r="A181" s="156">
        <v>42248</v>
      </c>
      <c r="B181" s="151">
        <v>12042</v>
      </c>
    </row>
    <row r="182" spans="1:5" x14ac:dyDescent="0.2">
      <c r="A182" s="128">
        <v>42278</v>
      </c>
      <c r="B182" s="151">
        <v>13330</v>
      </c>
    </row>
    <row r="183" spans="1:5" x14ac:dyDescent="0.2">
      <c r="A183" s="128">
        <v>42309</v>
      </c>
      <c r="B183" s="151">
        <v>14627</v>
      </c>
    </row>
    <row r="184" spans="1:5" x14ac:dyDescent="0.2">
      <c r="A184" s="128">
        <v>42339</v>
      </c>
      <c r="B184" s="151">
        <v>15453</v>
      </c>
    </row>
    <row r="185" spans="1:5" x14ac:dyDescent="0.2">
      <c r="A185" s="128">
        <v>42370</v>
      </c>
      <c r="B185" s="151">
        <v>23457</v>
      </c>
    </row>
    <row r="186" spans="1:5" x14ac:dyDescent="0.2">
      <c r="A186" s="128">
        <v>42401</v>
      </c>
      <c r="B186" s="151">
        <v>18189</v>
      </c>
    </row>
    <row r="187" spans="1:5" x14ac:dyDescent="0.2">
      <c r="A187" s="128">
        <v>42430</v>
      </c>
      <c r="B187" s="151">
        <v>21119</v>
      </c>
    </row>
    <row r="188" spans="1:5" x14ac:dyDescent="0.2">
      <c r="A188" s="128">
        <v>42461</v>
      </c>
      <c r="B188" s="151">
        <v>19120</v>
      </c>
    </row>
    <row r="189" spans="1:5" x14ac:dyDescent="0.2">
      <c r="A189" s="128">
        <v>42491</v>
      </c>
      <c r="B189" s="151">
        <v>19538</v>
      </c>
    </row>
    <row r="190" spans="1:5" x14ac:dyDescent="0.2">
      <c r="A190" s="128">
        <v>42522</v>
      </c>
      <c r="B190" s="151">
        <v>14090</v>
      </c>
    </row>
    <row r="191" spans="1:5" x14ac:dyDescent="0.2">
      <c r="A191" s="128">
        <v>42552</v>
      </c>
      <c r="B191" s="151">
        <v>13728</v>
      </c>
    </row>
    <row r="192" spans="1:5" x14ac:dyDescent="0.2">
      <c r="A192" s="128">
        <v>42583</v>
      </c>
      <c r="B192" s="151">
        <v>16394</v>
      </c>
    </row>
    <row r="193" spans="1:5" x14ac:dyDescent="0.2">
      <c r="A193" s="128">
        <v>42614</v>
      </c>
      <c r="B193" s="151">
        <v>12439</v>
      </c>
    </row>
    <row r="194" spans="1:5" x14ac:dyDescent="0.2">
      <c r="A194" s="151" t="s">
        <v>64</v>
      </c>
      <c r="B194" s="151">
        <v>38295</v>
      </c>
    </row>
    <row r="195" spans="1:5" x14ac:dyDescent="0.2">
      <c r="A195" s="63" t="s">
        <v>38</v>
      </c>
      <c r="B195" s="131">
        <f>AVERAGE(B182:B193)</f>
        <v>16790.333333333332</v>
      </c>
    </row>
    <row r="196" spans="1:5" x14ac:dyDescent="0.2">
      <c r="A196" s="63" t="s">
        <v>140</v>
      </c>
      <c r="B196" s="63">
        <v>185720</v>
      </c>
      <c r="D196" s="63"/>
      <c r="E196" s="63"/>
    </row>
    <row r="197" spans="1:5" x14ac:dyDescent="0.2">
      <c r="A197" s="63" t="s">
        <v>45</v>
      </c>
      <c r="B197" s="10">
        <v>198199</v>
      </c>
      <c r="C197" s="63"/>
      <c r="D197" s="111"/>
      <c r="E197" s="111"/>
    </row>
    <row r="198" spans="1:5" x14ac:dyDescent="0.2">
      <c r="A198" s="63"/>
      <c r="B198" s="63"/>
      <c r="C198" s="111"/>
      <c r="D198" s="127"/>
      <c r="E198" s="127"/>
    </row>
    <row r="199" spans="1:5" x14ac:dyDescent="0.2">
      <c r="A199" s="116" t="s">
        <v>66</v>
      </c>
      <c r="B199" s="125"/>
      <c r="C199" s="126"/>
    </row>
    <row r="200" spans="1:5" x14ac:dyDescent="0.2">
      <c r="A200" s="116" t="s">
        <v>21</v>
      </c>
      <c r="B200" s="151" t="s">
        <v>145</v>
      </c>
      <c r="C200" s="63"/>
    </row>
    <row r="201" spans="1:5" x14ac:dyDescent="0.2">
      <c r="A201" s="128">
        <v>42278</v>
      </c>
      <c r="B201" s="63">
        <f>B182-B$195</f>
        <v>-3460.3333333333321</v>
      </c>
      <c r="C201" s="63"/>
    </row>
    <row r="202" spans="1:5" x14ac:dyDescent="0.2">
      <c r="A202" s="128">
        <v>42309</v>
      </c>
      <c r="B202" s="63">
        <f t="shared" ref="B202:B212" si="9">B183-B$195</f>
        <v>-2163.3333333333321</v>
      </c>
      <c r="C202" s="63"/>
    </row>
    <row r="203" spans="1:5" x14ac:dyDescent="0.2">
      <c r="A203" s="128">
        <v>42339</v>
      </c>
      <c r="B203" s="63">
        <f t="shared" si="9"/>
        <v>-1337.3333333333321</v>
      </c>
      <c r="C203" s="63"/>
    </row>
    <row r="204" spans="1:5" x14ac:dyDescent="0.2">
      <c r="A204" s="128">
        <v>42370</v>
      </c>
      <c r="B204" s="63">
        <f t="shared" si="9"/>
        <v>6666.6666666666679</v>
      </c>
      <c r="C204" s="63"/>
    </row>
    <row r="205" spans="1:5" x14ac:dyDescent="0.2">
      <c r="A205" s="128">
        <v>42401</v>
      </c>
      <c r="B205" s="63">
        <f t="shared" si="9"/>
        <v>1398.6666666666679</v>
      </c>
      <c r="C205" s="63"/>
    </row>
    <row r="206" spans="1:5" x14ac:dyDescent="0.2">
      <c r="A206" s="128">
        <v>42430</v>
      </c>
      <c r="B206" s="63">
        <f t="shared" si="9"/>
        <v>4328.6666666666679</v>
      </c>
      <c r="C206" s="63"/>
    </row>
    <row r="207" spans="1:5" x14ac:dyDescent="0.2">
      <c r="A207" s="128">
        <v>42461</v>
      </c>
      <c r="B207" s="63">
        <f t="shared" si="9"/>
        <v>2329.6666666666679</v>
      </c>
      <c r="C207" s="63"/>
    </row>
    <row r="208" spans="1:5" x14ac:dyDescent="0.2">
      <c r="A208" s="128">
        <v>42491</v>
      </c>
      <c r="B208" s="63">
        <f t="shared" si="9"/>
        <v>2747.6666666666679</v>
      </c>
      <c r="C208" s="63"/>
    </row>
    <row r="209" spans="1:5" x14ac:dyDescent="0.2">
      <c r="A209" s="128">
        <v>42522</v>
      </c>
      <c r="B209" s="63">
        <f t="shared" si="9"/>
        <v>-2700.3333333333321</v>
      </c>
      <c r="C209" s="63"/>
    </row>
    <row r="210" spans="1:5" x14ac:dyDescent="0.2">
      <c r="A210" s="128">
        <v>42552</v>
      </c>
      <c r="B210" s="63">
        <f t="shared" si="9"/>
        <v>-3062.3333333333321</v>
      </c>
      <c r="C210" s="63"/>
    </row>
    <row r="211" spans="1:5" x14ac:dyDescent="0.2">
      <c r="A211" s="128">
        <v>42583</v>
      </c>
      <c r="B211" s="63">
        <f t="shared" si="9"/>
        <v>-396.33333333333212</v>
      </c>
      <c r="C211" s="63"/>
    </row>
    <row r="212" spans="1:5" x14ac:dyDescent="0.2">
      <c r="A212" s="128">
        <v>42614</v>
      </c>
      <c r="B212" s="63">
        <f t="shared" si="9"/>
        <v>-4351.3333333333321</v>
      </c>
      <c r="C212" s="63"/>
      <c r="D212" s="63"/>
      <c r="E212" s="63"/>
    </row>
    <row r="213" spans="1:5" x14ac:dyDescent="0.2">
      <c r="A213" s="116" t="s">
        <v>16</v>
      </c>
      <c r="B213" s="63">
        <f>SUM(B201:B212)</f>
        <v>1.4551915228366852E-11</v>
      </c>
      <c r="C213" s="63"/>
      <c r="D213" s="157"/>
      <c r="E213" s="157"/>
    </row>
    <row r="214" spans="1:5" x14ac:dyDescent="0.2">
      <c r="B214" s="63"/>
      <c r="C214" s="157"/>
      <c r="D214" s="127"/>
      <c r="E214" s="127"/>
    </row>
    <row r="215" spans="1:5" x14ac:dyDescent="0.2">
      <c r="A215" s="116" t="s">
        <v>67</v>
      </c>
      <c r="B215" s="158"/>
      <c r="C215" s="159"/>
    </row>
    <row r="216" spans="1:5" x14ac:dyDescent="0.2">
      <c r="A216" s="139" t="s">
        <v>21</v>
      </c>
      <c r="B216" s="160" t="s">
        <v>145</v>
      </c>
      <c r="C216" s="63"/>
    </row>
    <row r="217" spans="1:5" x14ac:dyDescent="0.2">
      <c r="A217" s="128">
        <v>42278</v>
      </c>
      <c r="B217" s="63">
        <f>B182-B181</f>
        <v>1288</v>
      </c>
      <c r="C217" s="63"/>
    </row>
    <row r="218" spans="1:5" x14ac:dyDescent="0.2">
      <c r="A218" s="128">
        <v>42309</v>
      </c>
      <c r="B218" s="63">
        <f>B183-B182</f>
        <v>1297</v>
      </c>
      <c r="C218" s="63"/>
    </row>
    <row r="219" spans="1:5" x14ac:dyDescent="0.2">
      <c r="A219" s="128">
        <v>42339</v>
      </c>
      <c r="B219" s="63">
        <f t="shared" ref="B219:B228" si="10">B184-B183</f>
        <v>826</v>
      </c>
      <c r="C219" s="63"/>
    </row>
    <row r="220" spans="1:5" x14ac:dyDescent="0.2">
      <c r="A220" s="128">
        <v>42370</v>
      </c>
      <c r="B220" s="63">
        <f t="shared" si="10"/>
        <v>8004</v>
      </c>
      <c r="C220" s="63"/>
    </row>
    <row r="221" spans="1:5" x14ac:dyDescent="0.2">
      <c r="A221" s="128">
        <v>42401</v>
      </c>
      <c r="B221" s="63">
        <f t="shared" si="10"/>
        <v>-5268</v>
      </c>
      <c r="C221" s="63"/>
    </row>
    <row r="222" spans="1:5" x14ac:dyDescent="0.2">
      <c r="A222" s="128">
        <v>42430</v>
      </c>
      <c r="B222" s="63">
        <f t="shared" si="10"/>
        <v>2930</v>
      </c>
      <c r="C222" s="63"/>
    </row>
    <row r="223" spans="1:5" x14ac:dyDescent="0.2">
      <c r="A223" s="128">
        <v>42461</v>
      </c>
      <c r="B223" s="63">
        <f t="shared" si="10"/>
        <v>-1999</v>
      </c>
      <c r="C223" s="63"/>
    </row>
    <row r="224" spans="1:5" x14ac:dyDescent="0.2">
      <c r="A224" s="128">
        <v>42491</v>
      </c>
      <c r="B224" s="63">
        <f t="shared" si="10"/>
        <v>418</v>
      </c>
      <c r="C224" s="63"/>
    </row>
    <row r="225" spans="1:5" x14ac:dyDescent="0.2">
      <c r="A225" s="128">
        <v>42522</v>
      </c>
      <c r="B225" s="63">
        <f t="shared" si="10"/>
        <v>-5448</v>
      </c>
      <c r="C225" s="63"/>
    </row>
    <row r="226" spans="1:5" x14ac:dyDescent="0.2">
      <c r="A226" s="128">
        <v>42552</v>
      </c>
      <c r="B226" s="63">
        <f t="shared" si="10"/>
        <v>-362</v>
      </c>
      <c r="C226" s="63"/>
    </row>
    <row r="227" spans="1:5" x14ac:dyDescent="0.2">
      <c r="A227" s="128">
        <v>42583</v>
      </c>
      <c r="B227" s="63">
        <f t="shared" si="10"/>
        <v>2666</v>
      </c>
      <c r="C227" s="63"/>
      <c r="D227" s="63"/>
      <c r="E227" s="63"/>
    </row>
    <row r="228" spans="1:5" x14ac:dyDescent="0.2">
      <c r="A228" s="128">
        <v>42614</v>
      </c>
      <c r="B228" s="63">
        <f t="shared" si="10"/>
        <v>-3955</v>
      </c>
      <c r="C228" s="63"/>
    </row>
    <row r="229" spans="1:5" x14ac:dyDescent="0.2">
      <c r="A229" s="124"/>
      <c r="B229" s="63"/>
    </row>
    <row r="230" spans="1:5" x14ac:dyDescent="0.2">
      <c r="A230" s="124"/>
      <c r="D230" s="114"/>
    </row>
    <row r="231" spans="1:5" x14ac:dyDescent="0.2">
      <c r="A231" s="58" t="s">
        <v>71</v>
      </c>
      <c r="C231" s="113"/>
      <c r="D231" s="114"/>
    </row>
    <row r="232" spans="1:5" x14ac:dyDescent="0.2">
      <c r="A232" s="151"/>
      <c r="B232" s="244" t="s">
        <v>145</v>
      </c>
      <c r="C232" s="245"/>
      <c r="D232" s="246"/>
    </row>
    <row r="233" spans="1:5" x14ac:dyDescent="0.2">
      <c r="A233" s="151" t="s">
        <v>70</v>
      </c>
      <c r="B233" s="151" t="s">
        <v>62</v>
      </c>
      <c r="C233" s="151" t="s">
        <v>63</v>
      </c>
      <c r="D233" s="151" t="s">
        <v>61</v>
      </c>
    </row>
    <row r="234" spans="1:5" x14ac:dyDescent="0.2">
      <c r="A234" s="151" t="s">
        <v>49</v>
      </c>
      <c r="B234" s="161"/>
      <c r="C234" s="161"/>
      <c r="D234" s="161"/>
    </row>
    <row r="235" spans="1:5" x14ac:dyDescent="0.2">
      <c r="A235" s="151" t="s">
        <v>50</v>
      </c>
      <c r="B235" s="161"/>
      <c r="C235" s="161"/>
      <c r="D235" s="161"/>
    </row>
    <row r="236" spans="1:5" x14ac:dyDescent="0.2">
      <c r="A236" s="151" t="s">
        <v>51</v>
      </c>
      <c r="B236" s="161">
        <v>592471</v>
      </c>
      <c r="C236" s="161">
        <v>6582527</v>
      </c>
      <c r="D236" s="161">
        <v>325462</v>
      </c>
    </row>
    <row r="237" spans="1:5" x14ac:dyDescent="0.2">
      <c r="A237" s="151" t="s">
        <v>52</v>
      </c>
      <c r="B237" s="161">
        <v>555306</v>
      </c>
      <c r="C237" s="161">
        <v>5791919</v>
      </c>
      <c r="D237" s="161">
        <v>298036</v>
      </c>
    </row>
    <row r="238" spans="1:5" x14ac:dyDescent="0.2">
      <c r="A238" s="151" t="s">
        <v>53</v>
      </c>
      <c r="B238" s="161">
        <v>399036</v>
      </c>
      <c r="C238" s="161">
        <v>4085298</v>
      </c>
      <c r="D238" s="161">
        <v>224482</v>
      </c>
    </row>
    <row r="239" spans="1:5" x14ac:dyDescent="0.2">
      <c r="A239" s="151" t="s">
        <v>55</v>
      </c>
      <c r="B239" s="161">
        <v>349520</v>
      </c>
      <c r="C239" s="161">
        <v>3443353</v>
      </c>
      <c r="D239" s="161">
        <v>198199</v>
      </c>
    </row>
    <row r="240" spans="1:5" x14ac:dyDescent="0.2">
      <c r="A240" s="162" t="s">
        <v>120</v>
      </c>
      <c r="B240" s="163">
        <v>318452</v>
      </c>
      <c r="C240" s="163">
        <v>3076663</v>
      </c>
      <c r="D240" s="163">
        <v>185720</v>
      </c>
    </row>
    <row r="241" spans="1:4" x14ac:dyDescent="0.2">
      <c r="A241" t="s">
        <v>64</v>
      </c>
      <c r="B241"/>
      <c r="C241"/>
      <c r="D241"/>
    </row>
  </sheetData>
  <mergeCells count="1">
    <mergeCell ref="B232:D232"/>
  </mergeCells>
  <pageMargins left="0.75" right="0.75" top="1" bottom="1" header="0.5" footer="0.5"/>
  <pageSetup scale="7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3"/>
  <sheetViews>
    <sheetView zoomScale="110" zoomScaleNormal="110" workbookViewId="0">
      <selection activeCell="A3" sqref="A3"/>
    </sheetView>
  </sheetViews>
  <sheetFormatPr defaultRowHeight="12.75" x14ac:dyDescent="0.2"/>
  <cols>
    <col min="1" max="1" width="120.7109375" customWidth="1"/>
  </cols>
  <sheetData>
    <row r="3" spans="1:1" ht="228.75" customHeight="1" x14ac:dyDescent="0.2">
      <c r="A3" s="97" t="s">
        <v>144</v>
      </c>
    </row>
  </sheetData>
  <pageMargins left="0.75" right="0.75" top="1" bottom="1" header="0.5" footer="0.5"/>
  <pageSetup scale="7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K37"/>
  <sheetViews>
    <sheetView zoomScale="70" zoomScaleNormal="70" zoomScalePageLayoutView="90" workbookViewId="0">
      <selection activeCell="B1" sqref="B1:K32"/>
    </sheetView>
  </sheetViews>
  <sheetFormatPr defaultColWidth="11.42578125" defaultRowHeight="12.75" x14ac:dyDescent="0.2"/>
  <cols>
    <col min="1" max="1" width="7.140625" customWidth="1"/>
    <col min="2" max="2" width="51.85546875" customWidth="1"/>
    <col min="3" max="3" width="20.7109375" customWidth="1"/>
    <col min="4" max="4" width="18.7109375" customWidth="1"/>
    <col min="5" max="5" width="3.42578125" customWidth="1"/>
    <col min="6" max="6" width="15.140625" customWidth="1"/>
    <col min="7" max="7" width="13" customWidth="1"/>
    <col min="8" max="8" width="1.7109375" customWidth="1"/>
    <col min="9" max="9" width="14.42578125" customWidth="1"/>
    <col min="10" max="10" width="15" customWidth="1"/>
    <col min="11" max="11" width="29.42578125" customWidth="1"/>
    <col min="12" max="12" width="19.85546875" customWidth="1"/>
    <col min="13" max="13" width="22.140625" customWidth="1"/>
  </cols>
  <sheetData>
    <row r="1" spans="1:11" ht="51.95" customHeight="1" thickBot="1" x14ac:dyDescent="0.25">
      <c r="A1" s="9"/>
      <c r="B1" s="188" t="s">
        <v>90</v>
      </c>
      <c r="C1" s="188"/>
      <c r="D1" s="188"/>
      <c r="E1" s="188"/>
      <c r="F1" s="188"/>
      <c r="G1" s="188"/>
      <c r="H1" s="188"/>
      <c r="I1" s="188"/>
      <c r="J1" s="188"/>
      <c r="K1" s="188"/>
    </row>
    <row r="2" spans="1:11" ht="24.95" customHeight="1" thickBot="1" x14ac:dyDescent="0.25">
      <c r="B2" s="205" t="s">
        <v>112</v>
      </c>
      <c r="C2" s="206"/>
      <c r="D2" s="207"/>
      <c r="F2" s="211" t="str">
        <f>CONCATENATE(data!$B$2, " Distribution and User Trends (Oct 2015 - Sep 2016)")</f>
        <v>ASDC Distribution and User Trends (Oct 2015 - Sep 2016)</v>
      </c>
      <c r="G2" s="212"/>
      <c r="H2" s="212"/>
      <c r="I2" s="213"/>
      <c r="J2" s="213"/>
      <c r="K2" s="214"/>
    </row>
    <row r="3" spans="1:11" ht="18" customHeight="1" thickBot="1" x14ac:dyDescent="0.25">
      <c r="B3" s="71" t="s">
        <v>74</v>
      </c>
      <c r="C3" s="71" t="s">
        <v>73</v>
      </c>
      <c r="D3" s="71" t="str">
        <f>Summary_data!C4</f>
        <v>ASDC</v>
      </c>
      <c r="F3" s="215" t="s">
        <v>74</v>
      </c>
      <c r="G3" s="72" t="s">
        <v>16</v>
      </c>
      <c r="H3" s="73"/>
      <c r="I3" s="74" t="s">
        <v>34</v>
      </c>
      <c r="J3" s="74" t="s">
        <v>41</v>
      </c>
      <c r="K3" s="75" t="s">
        <v>35</v>
      </c>
    </row>
    <row r="4" spans="1:11" ht="18" customHeight="1" thickBot="1" x14ac:dyDescent="0.25">
      <c r="B4" s="54" t="s">
        <v>0</v>
      </c>
      <c r="C4" s="98">
        <f>Summary_data!T13</f>
        <v>11140</v>
      </c>
      <c r="D4" s="100">
        <f>Summary_data!D4</f>
        <v>1003</v>
      </c>
      <c r="F4" s="216"/>
      <c r="G4" s="76" t="s">
        <v>89</v>
      </c>
      <c r="H4" s="77"/>
      <c r="I4" s="78" t="s">
        <v>22</v>
      </c>
      <c r="J4" s="77" t="s">
        <v>36</v>
      </c>
      <c r="K4" s="79" t="s">
        <v>37</v>
      </c>
    </row>
    <row r="5" spans="1:11" ht="18" customHeight="1" thickBot="1" x14ac:dyDescent="0.25">
      <c r="B5" s="55" t="s">
        <v>1</v>
      </c>
      <c r="C5" s="98">
        <f>Summary_data!T14</f>
        <v>3210968</v>
      </c>
      <c r="D5" s="101">
        <f>Summary_data!G4</f>
        <v>42658</v>
      </c>
      <c r="F5" s="219" t="s">
        <v>78</v>
      </c>
      <c r="G5" s="220">
        <f>data!$B$15</f>
        <v>18.483862000000002</v>
      </c>
      <c r="H5" s="209"/>
      <c r="I5" s="208">
        <f>(data!$B$15-data!$B$17)/data!$B$17</f>
        <v>0.1593514934225882</v>
      </c>
      <c r="J5" s="210">
        <f>data!$B$16</f>
        <v>1.5403218333333335</v>
      </c>
      <c r="K5" s="203"/>
    </row>
    <row r="6" spans="1:11" ht="18" customHeight="1" thickBot="1" x14ac:dyDescent="0.25">
      <c r="B6" s="55" t="s">
        <v>2</v>
      </c>
      <c r="C6" s="98">
        <f>Summary_data!T15</f>
        <v>2351536</v>
      </c>
      <c r="D6" s="101">
        <f>Summary_data!H$4</f>
        <v>55046</v>
      </c>
      <c r="F6" s="201"/>
      <c r="G6" s="221"/>
      <c r="H6" s="195"/>
      <c r="I6" s="197"/>
      <c r="J6" s="204"/>
      <c r="K6" s="189"/>
    </row>
    <row r="7" spans="1:11" ht="18" customHeight="1" thickBot="1" x14ac:dyDescent="0.25">
      <c r="B7" s="55" t="s">
        <v>3</v>
      </c>
      <c r="C7" s="103" t="str">
        <f>Summary_data!T16</f>
        <v>12,355.2 GB/day</v>
      </c>
      <c r="D7" s="103" t="str">
        <f>CONCATENATE(FIXED(1024*Summary_data!$K$4,1), " GB/day")</f>
        <v>1,934.7 GB/day</v>
      </c>
      <c r="F7" s="191" t="s">
        <v>72</v>
      </c>
      <c r="G7" s="217">
        <f>data!$B$67</f>
        <v>1315.178235138271</v>
      </c>
      <c r="H7" s="195"/>
      <c r="I7" s="197">
        <f>(data!$B$67-data!$B$69)/data!$B$69</f>
        <v>0.15128569513756798</v>
      </c>
      <c r="J7" s="204">
        <f>data!$B$68</f>
        <v>109.59818626152259</v>
      </c>
      <c r="K7" s="189"/>
    </row>
    <row r="8" spans="1:11" ht="18" customHeight="1" thickBot="1" x14ac:dyDescent="0.25">
      <c r="B8" s="55" t="s">
        <v>4</v>
      </c>
      <c r="C8" s="98" t="str">
        <f>Summary_data!T17</f>
        <v>17,923.2 TB</v>
      </c>
      <c r="D8" s="102" t="str">
        <f>CONCATENATE(FIXED(Summary_data!$L$4,1), " TB")</f>
        <v>4,159.8 TB</v>
      </c>
      <c r="F8" s="201"/>
      <c r="G8" s="218"/>
      <c r="H8" s="195"/>
      <c r="I8" s="197"/>
      <c r="J8" s="204"/>
      <c r="K8" s="189"/>
    </row>
    <row r="9" spans="1:11" ht="18" customHeight="1" thickBot="1" x14ac:dyDescent="0.25">
      <c r="B9" s="55" t="s">
        <v>5</v>
      </c>
      <c r="C9" s="98" t="str">
        <f>Summary_data!T8</f>
        <v>1,512.9 M</v>
      </c>
      <c r="D9" s="101" t="str">
        <f>CONCATENATE(FIXED(Summary_data!$O$4,1), " M")</f>
        <v>18.5 M</v>
      </c>
      <c r="F9" s="191" t="s">
        <v>68</v>
      </c>
      <c r="G9" s="193">
        <f>data!$B$120</f>
        <v>4102</v>
      </c>
      <c r="H9" s="195"/>
      <c r="I9" s="197">
        <f>(data!$B$120-data!$B$121)/data!$B$121</f>
        <v>8.0611169652265544E-2</v>
      </c>
      <c r="J9" s="199">
        <f>data!$B$119</f>
        <v>583.66666666666663</v>
      </c>
      <c r="K9" s="189"/>
    </row>
    <row r="10" spans="1:11" ht="18" customHeight="1" thickBot="1" x14ac:dyDescent="0.25">
      <c r="B10" s="56" t="s">
        <v>6</v>
      </c>
      <c r="C10" s="102" t="str">
        <f>Summary_data!T19</f>
        <v>40,987.6 GB/day</v>
      </c>
      <c r="D10" s="102" t="str">
        <f>CONCATENATE(FIXED(1024*Summary_data!$Q$4,1), " GB/day")</f>
        <v>3,679.6 GB/day</v>
      </c>
      <c r="F10" s="201"/>
      <c r="G10" s="202"/>
      <c r="H10" s="195"/>
      <c r="I10" s="197"/>
      <c r="J10" s="199"/>
      <c r="K10" s="189"/>
    </row>
    <row r="11" spans="1:11" ht="18" customHeight="1" x14ac:dyDescent="0.2">
      <c r="E11" s="5"/>
      <c r="F11" s="191" t="s">
        <v>77</v>
      </c>
      <c r="G11" s="193">
        <f>data!$B$196</f>
        <v>38903</v>
      </c>
      <c r="H11" s="195"/>
      <c r="I11" s="197">
        <f>(data!$B$196-data!$B$197)/data!$B$197</f>
        <v>8.7222625901291151E-2</v>
      </c>
      <c r="J11" s="199">
        <f>data!$B$195</f>
        <v>4587.166666666667</v>
      </c>
      <c r="K11" s="189"/>
    </row>
    <row r="12" spans="1:11" ht="18" customHeight="1" thickBot="1" x14ac:dyDescent="0.25">
      <c r="F12" s="192"/>
      <c r="G12" s="194"/>
      <c r="H12" s="196"/>
      <c r="I12" s="198"/>
      <c r="J12" s="200"/>
      <c r="K12" s="190"/>
    </row>
    <row r="13" spans="1:11" ht="18" customHeight="1" x14ac:dyDescent="0.2"/>
    <row r="14" spans="1:11" ht="24.95" customHeight="1" x14ac:dyDescent="0.2"/>
    <row r="15" spans="1:11" ht="24.95" customHeight="1" x14ac:dyDescent="0.2"/>
    <row r="16" spans="1:11" ht="24.95" customHeight="1" x14ac:dyDescent="0.2"/>
    <row r="17" ht="24.95" customHeight="1" x14ac:dyDescent="0.2"/>
    <row r="18" ht="24.95" customHeight="1" x14ac:dyDescent="0.2"/>
    <row r="19" ht="24.95" customHeight="1" x14ac:dyDescent="0.2"/>
    <row r="20" ht="24.95" customHeight="1" x14ac:dyDescent="0.2"/>
    <row r="21" ht="24.95" customHeight="1" x14ac:dyDescent="0.2"/>
    <row r="22" ht="24.95" customHeight="1" x14ac:dyDescent="0.2"/>
    <row r="23" ht="24.95" customHeight="1" x14ac:dyDescent="0.2"/>
    <row r="24" ht="24.95" customHeight="1" x14ac:dyDescent="0.2"/>
    <row r="25" ht="24.95" customHeight="1" x14ac:dyDescent="0.2"/>
    <row r="26" ht="24.95" customHeight="1" x14ac:dyDescent="0.2"/>
    <row r="27" ht="24.95" customHeight="1" x14ac:dyDescent="0.2"/>
    <row r="28" ht="24.95" customHeight="1" x14ac:dyDescent="0.2"/>
    <row r="29" ht="24.95" customHeight="1" x14ac:dyDescent="0.2"/>
    <row r="30" ht="24.95" customHeight="1" x14ac:dyDescent="0.2"/>
    <row r="31" ht="24.95" customHeight="1" x14ac:dyDescent="0.2"/>
    <row r="32" ht="24.95" customHeight="1" x14ac:dyDescent="0.2"/>
    <row r="33" ht="30" customHeight="1" x14ac:dyDescent="0.2"/>
    <row r="34" ht="30" customHeight="1" x14ac:dyDescent="0.2"/>
    <row r="35" ht="30" customHeight="1" x14ac:dyDescent="0.2"/>
    <row r="36" ht="30" customHeight="1" x14ac:dyDescent="0.2"/>
    <row r="37" ht="30" customHeight="1" x14ac:dyDescent="0.2"/>
  </sheetData>
  <dataConsolidate/>
  <mergeCells count="28">
    <mergeCell ref="I7:I8"/>
    <mergeCell ref="B2:D2"/>
    <mergeCell ref="I5:I6"/>
    <mergeCell ref="H5:H6"/>
    <mergeCell ref="J5:J6"/>
    <mergeCell ref="F2:K2"/>
    <mergeCell ref="F3:F4"/>
    <mergeCell ref="H7:H8"/>
    <mergeCell ref="G7:G8"/>
    <mergeCell ref="F7:F8"/>
    <mergeCell ref="F5:F6"/>
    <mergeCell ref="G5:G6"/>
    <mergeCell ref="B1:K1"/>
    <mergeCell ref="K9:K10"/>
    <mergeCell ref="K11:K12"/>
    <mergeCell ref="F11:F12"/>
    <mergeCell ref="G11:G12"/>
    <mergeCell ref="H11:H12"/>
    <mergeCell ref="I11:I12"/>
    <mergeCell ref="J11:J12"/>
    <mergeCell ref="F9:F10"/>
    <mergeCell ref="G9:G10"/>
    <mergeCell ref="H9:H10"/>
    <mergeCell ref="I9:I10"/>
    <mergeCell ref="J9:J10"/>
    <mergeCell ref="K5:K6"/>
    <mergeCell ref="K7:K8"/>
    <mergeCell ref="J7:J8"/>
  </mergeCells>
  <conditionalFormatting sqref="I5">
    <cfRule type="iconSet" priority="135">
      <iconSet iconSet="3Arrows">
        <cfvo type="percent" val="0"/>
        <cfvo type="percent" val="0.1"/>
        <cfvo type="percent" val="1"/>
      </iconSet>
    </cfRule>
    <cfRule type="iconSet" priority="145">
      <iconSet showValue="0">
        <cfvo type="percent" val="0"/>
        <cfvo type="num" val="0.9"/>
        <cfvo type="num" val="0.95"/>
      </iconSet>
    </cfRule>
  </conditionalFormatting>
  <conditionalFormatting sqref="I5">
    <cfRule type="iconSet" priority="144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146">
      <iconSet>
        <cfvo type="percent" val="0"/>
        <cfvo type="percent" val="33"/>
        <cfvo type="percent" val="67"/>
      </iconSet>
    </cfRule>
    <cfRule type="iconSet" priority="147">
      <iconSet iconSet="4Arrows">
        <cfvo type="percent" val="0"/>
        <cfvo type="percent" val="25"/>
        <cfvo type="percent" val="50"/>
        <cfvo type="percentile" val="75"/>
      </iconSet>
    </cfRule>
    <cfRule type="iconSet" priority="148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149">
      <iconSet iconSet="3Arrows">
        <cfvo type="percent" val="0"/>
        <cfvo type="percent" val="33"/>
        <cfvo type="percent" val="67"/>
      </iconSet>
    </cfRule>
  </conditionalFormatting>
  <conditionalFormatting sqref="I5">
    <cfRule type="iconSet" priority="136">
      <iconSet iconSet="5Arrows">
        <cfvo type="percent" val="0"/>
        <cfvo type="num" val="-0.2"/>
        <cfvo type="num" val="-0.05"/>
        <cfvo type="num" val="0.05"/>
        <cfvo type="num" val="0.2"/>
      </iconSet>
    </cfRule>
  </conditionalFormatting>
  <conditionalFormatting sqref="K7 K5">
    <cfRule type="dataBar" priority="13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{AA64AE06-5540-4AA0-8037-E45A2831123B}</x14:id>
        </ext>
      </extLst>
    </cfRule>
  </conditionalFormatting>
  <conditionalFormatting sqref="K9">
    <cfRule type="dataBar" priority="3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{A25FFA54-EB01-40C9-A0D0-A8D7C498EDD2}</x14:id>
        </ext>
      </extLst>
    </cfRule>
  </conditionalFormatting>
  <conditionalFormatting sqref="K11">
    <cfRule type="dataBar" priority="2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{8D88A1E3-C260-4787-A30A-589904A5DA5D}</x14:id>
        </ext>
      </extLst>
    </cfRule>
  </conditionalFormatting>
  <conditionalFormatting sqref="I7">
    <cfRule type="iconSet" priority="17">
      <iconSet iconSet="3Arrows">
        <cfvo type="percent" val="0"/>
        <cfvo type="percent" val="0.1"/>
        <cfvo type="percent" val="1"/>
      </iconSet>
    </cfRule>
    <cfRule type="iconSet" priority="20">
      <iconSet showValue="0">
        <cfvo type="percent" val="0"/>
        <cfvo type="num" val="0.9"/>
        <cfvo type="num" val="0.95"/>
      </iconSet>
    </cfRule>
  </conditionalFormatting>
  <conditionalFormatting sqref="I7">
    <cfRule type="iconSet" priority="19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21">
      <iconSet>
        <cfvo type="percent" val="0"/>
        <cfvo type="percent" val="33"/>
        <cfvo type="percent" val="67"/>
      </iconSet>
    </cfRule>
    <cfRule type="iconSet" priority="22">
      <iconSet iconSet="4Arrows">
        <cfvo type="percent" val="0"/>
        <cfvo type="percent" val="25"/>
        <cfvo type="percent" val="50"/>
        <cfvo type="percentile" val="75"/>
      </iconSet>
    </cfRule>
    <cfRule type="iconSet" priority="23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24">
      <iconSet iconSet="3Arrows">
        <cfvo type="percent" val="0"/>
        <cfvo type="percent" val="33"/>
        <cfvo type="percent" val="67"/>
      </iconSet>
    </cfRule>
  </conditionalFormatting>
  <conditionalFormatting sqref="I7">
    <cfRule type="iconSet" priority="18">
      <iconSet iconSet="5Arrows">
        <cfvo type="percent" val="0"/>
        <cfvo type="num" val="-0.2"/>
        <cfvo type="num" val="-0.05"/>
        <cfvo type="num" val="0.05"/>
        <cfvo type="num" val="0.2"/>
      </iconSet>
    </cfRule>
  </conditionalFormatting>
  <conditionalFormatting sqref="I9">
    <cfRule type="iconSet" priority="9">
      <iconSet iconSet="3Arrows">
        <cfvo type="percent" val="0"/>
        <cfvo type="percent" val="0.1"/>
        <cfvo type="percent" val="1"/>
      </iconSet>
    </cfRule>
    <cfRule type="iconSet" priority="12">
      <iconSet showValue="0">
        <cfvo type="percent" val="0"/>
        <cfvo type="num" val="0.9"/>
        <cfvo type="num" val="0.95"/>
      </iconSet>
    </cfRule>
  </conditionalFormatting>
  <conditionalFormatting sqref="I9">
    <cfRule type="iconSet" priority="11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13">
      <iconSet>
        <cfvo type="percent" val="0"/>
        <cfvo type="percent" val="33"/>
        <cfvo type="percent" val="67"/>
      </iconSet>
    </cfRule>
    <cfRule type="iconSet" priority="14">
      <iconSet iconSet="4Arrows">
        <cfvo type="percent" val="0"/>
        <cfvo type="percent" val="25"/>
        <cfvo type="percent" val="50"/>
        <cfvo type="percentile" val="75"/>
      </iconSet>
    </cfRule>
    <cfRule type="iconSet" priority="15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16">
      <iconSet iconSet="3Arrows">
        <cfvo type="percent" val="0"/>
        <cfvo type="percent" val="33"/>
        <cfvo type="percent" val="67"/>
      </iconSet>
    </cfRule>
  </conditionalFormatting>
  <conditionalFormatting sqref="I9">
    <cfRule type="iconSet" priority="10">
      <iconSet iconSet="5Arrows">
        <cfvo type="percent" val="0"/>
        <cfvo type="num" val="-0.2"/>
        <cfvo type="num" val="-0.05"/>
        <cfvo type="num" val="0.05"/>
        <cfvo type="num" val="0.2"/>
      </iconSet>
    </cfRule>
  </conditionalFormatting>
  <conditionalFormatting sqref="I11">
    <cfRule type="iconSet" priority="1">
      <iconSet iconSet="3Arrows">
        <cfvo type="percent" val="0"/>
        <cfvo type="percent" val="0.1"/>
        <cfvo type="percent" val="1"/>
      </iconSet>
    </cfRule>
    <cfRule type="iconSet" priority="4">
      <iconSet showValue="0">
        <cfvo type="percent" val="0"/>
        <cfvo type="num" val="0.9"/>
        <cfvo type="num" val="0.95"/>
      </iconSet>
    </cfRule>
  </conditionalFormatting>
  <conditionalFormatting sqref="I11">
    <cfRule type="iconSet" priority="3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5">
      <iconSet>
        <cfvo type="percent" val="0"/>
        <cfvo type="percent" val="33"/>
        <cfvo type="percent" val="67"/>
      </iconSet>
    </cfRule>
    <cfRule type="iconSet" priority="6">
      <iconSet iconSet="4Arrows">
        <cfvo type="percent" val="0"/>
        <cfvo type="percent" val="25"/>
        <cfvo type="percent" val="50"/>
        <cfvo type="percentile" val="75"/>
      </iconSet>
    </cfRule>
    <cfRule type="iconSet" priority="7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8">
      <iconSet iconSet="3Arrows">
        <cfvo type="percent" val="0"/>
        <cfvo type="percent" val="33"/>
        <cfvo type="percent" val="67"/>
      </iconSet>
    </cfRule>
  </conditionalFormatting>
  <conditionalFormatting sqref="I11">
    <cfRule type="iconSet" priority="2">
      <iconSet iconSet="5Arrows">
        <cfvo type="percent" val="0"/>
        <cfvo type="num" val="-0.2"/>
        <cfvo type="num" val="-0.05"/>
        <cfvo type="num" val="0.05"/>
        <cfvo type="num" val="0.2"/>
      </iconSet>
    </cfRule>
  </conditionalFormatting>
  <pageMargins left="0.75" right="0.75" top="1" bottom="1" header="0.5" footer="0.5"/>
  <pageSetup scale="75" orientation="landscape" r:id="rId1"/>
  <headerFooter alignWithMargins="0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AA64AE06-5540-4AA0-8037-E45A2831123B}">
            <x14:dataBar minLength="0" maxLength="100" negativeBarColorSameAsPositive="1" axisPosition="none">
              <x14:cfvo type="min"/>
              <x14:cfvo type="max"/>
            </x14:dataBar>
          </x14:cfRule>
          <xm:sqref>K7 K5</xm:sqref>
        </x14:conditionalFormatting>
        <x14:conditionalFormatting xmlns:xm="http://schemas.microsoft.com/office/excel/2006/main">
          <x14:cfRule type="dataBar" id="{A25FFA54-EB01-40C9-A0D0-A8D7C498EDD2}">
            <x14:dataBar minLength="0" maxLength="100" negativeBarColorSameAsPositive="1" axisPosition="none">
              <x14:cfvo type="min"/>
              <x14:cfvo type="max"/>
            </x14:dataBar>
          </x14:cfRule>
          <xm:sqref>K9</xm:sqref>
        </x14:conditionalFormatting>
        <x14:conditionalFormatting xmlns:xm="http://schemas.microsoft.com/office/excel/2006/main">
          <x14:cfRule type="dataBar" id="{8D88A1E3-C260-4787-A30A-589904A5DA5D}">
            <x14:dataBar minLength="0" maxLength="100" negativeBarColorSameAsPositive="1" axisPosition="none">
              <x14:cfvo type="min"/>
              <x14:cfvo type="max"/>
            </x14:dataBar>
          </x14:cfRule>
          <xm:sqref>K11</xm:sqref>
        </x14:conditionalFormatting>
      </x14:conditionalFormattings>
    </ext>
    <ext xmlns:x14="http://schemas.microsoft.com/office/spreadsheetml/2009/9/main" uri="{05C60535-1F16-4fd2-B633-F4F36F0B64E0}">
      <x14:sparklineGroups xmlns:xm="http://schemas.microsoft.com/office/excel/2006/main">
        <x14:sparklineGroup displayEmptyCellsAs="gap" high="1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data!B182:B193</xm:f>
              <xm:sqref>K11</xm:sqref>
            </x14:sparkline>
          </x14:sparklines>
        </x14:sparklineGroup>
        <x14:sparklineGroup displayEmptyCellsAs="gap" high="1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data!B106:B117</xm:f>
              <xm:sqref>K9</xm:sqref>
            </x14:sparkline>
          </x14:sparklines>
        </x14:sparklineGroup>
        <x14:sparklineGroup displayEmptyCellsAs="gap" high="1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data!$B$3:$B$14</xm:f>
              <xm:sqref>K5</xm:sqref>
            </x14:sparkline>
          </x14:sparklines>
        </x14:sparklineGroup>
        <x14:sparklineGroup displayEmptyCellsAs="gap" high="1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data!B55:B66</xm:f>
              <xm:sqref>K7</xm:sqref>
            </x14:sparkline>
          </x14:sparklines>
        </x14:sparklineGroup>
      </x14:sparklineGroups>
    </ex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K37"/>
  <sheetViews>
    <sheetView zoomScale="70" zoomScaleNormal="70" zoomScalePageLayoutView="90" workbookViewId="0">
      <selection activeCell="B1" sqref="B1:K32"/>
    </sheetView>
  </sheetViews>
  <sheetFormatPr defaultColWidth="11.42578125" defaultRowHeight="12.75" x14ac:dyDescent="0.2"/>
  <cols>
    <col min="1" max="1" width="7.140625" customWidth="1"/>
    <col min="2" max="2" width="51.85546875" customWidth="1"/>
    <col min="3" max="3" width="20.7109375" customWidth="1"/>
    <col min="4" max="4" width="18.7109375" customWidth="1"/>
    <col min="5" max="5" width="3.42578125" customWidth="1"/>
    <col min="6" max="6" width="15.140625" customWidth="1"/>
    <col min="7" max="7" width="13" customWidth="1"/>
    <col min="8" max="8" width="1.7109375" customWidth="1"/>
    <col min="9" max="9" width="14.42578125" customWidth="1"/>
    <col min="10" max="10" width="15" customWidth="1"/>
    <col min="11" max="11" width="29.42578125" customWidth="1"/>
    <col min="12" max="12" width="19.85546875" customWidth="1"/>
    <col min="13" max="13" width="22.140625" customWidth="1"/>
  </cols>
  <sheetData>
    <row r="1" spans="1:11" ht="51.95" customHeight="1" thickBot="1" x14ac:dyDescent="0.25">
      <c r="A1" s="9"/>
      <c r="B1" s="188" t="s">
        <v>91</v>
      </c>
      <c r="C1" s="188"/>
      <c r="D1" s="188"/>
      <c r="E1" s="188"/>
      <c r="F1" s="188"/>
      <c r="G1" s="188"/>
      <c r="H1" s="188"/>
      <c r="I1" s="188"/>
      <c r="J1" s="188"/>
      <c r="K1" s="188"/>
    </row>
    <row r="2" spans="1:11" ht="24.95" customHeight="1" thickBot="1" x14ac:dyDescent="0.25">
      <c r="B2" s="205" t="str">
        <f>CONCATENATE("FY2016 Metrics ", Summary_data!S1)</f>
        <v>FY2016 Metrics (Oct 2015 to Sep 2016)</v>
      </c>
      <c r="C2" s="206"/>
      <c r="D2" s="207"/>
      <c r="F2" s="211" t="str">
        <f>CONCATENATE(data!$C$2, " Distribution and User Trends ", Summary_data!S1)</f>
        <v>ASF Distribution and User Trends (Oct 2015 to Sep 2016)</v>
      </c>
      <c r="G2" s="212"/>
      <c r="H2" s="212"/>
      <c r="I2" s="213"/>
      <c r="J2" s="213"/>
      <c r="K2" s="214"/>
    </row>
    <row r="3" spans="1:11" ht="18" customHeight="1" thickBot="1" x14ac:dyDescent="0.25">
      <c r="B3" s="71" t="s">
        <v>74</v>
      </c>
      <c r="C3" s="71" t="s">
        <v>73</v>
      </c>
      <c r="D3" s="71" t="str">
        <f>Summary_data!C5</f>
        <v>ASF</v>
      </c>
      <c r="F3" s="215" t="s">
        <v>74</v>
      </c>
      <c r="G3" s="72" t="s">
        <v>16</v>
      </c>
      <c r="H3" s="73"/>
      <c r="I3" s="74" t="s">
        <v>34</v>
      </c>
      <c r="J3" s="74" t="s">
        <v>41</v>
      </c>
      <c r="K3" s="75" t="s">
        <v>35</v>
      </c>
    </row>
    <row r="4" spans="1:11" ht="18" customHeight="1" thickBot="1" x14ac:dyDescent="0.25">
      <c r="B4" s="54" t="s">
        <v>0</v>
      </c>
      <c r="C4" s="98">
        <f>Summary_data!T13</f>
        <v>11140</v>
      </c>
      <c r="D4" s="100">
        <f>Summary_data!D5</f>
        <v>97</v>
      </c>
      <c r="F4" s="216"/>
      <c r="G4" s="76" t="s">
        <v>89</v>
      </c>
      <c r="H4" s="77"/>
      <c r="I4" s="78" t="s">
        <v>22</v>
      </c>
      <c r="J4" s="77" t="s">
        <v>36</v>
      </c>
      <c r="K4" s="79" t="s">
        <v>37</v>
      </c>
    </row>
    <row r="5" spans="1:11" ht="18" customHeight="1" thickBot="1" x14ac:dyDescent="0.25">
      <c r="B5" s="55" t="s">
        <v>1</v>
      </c>
      <c r="C5" s="98">
        <f>Summary_data!T14</f>
        <v>3210968</v>
      </c>
      <c r="D5" s="101">
        <f>Summary_data!G5</f>
        <v>50290</v>
      </c>
      <c r="F5" s="219" t="s">
        <v>78</v>
      </c>
      <c r="G5" s="220">
        <f>data!$C$15</f>
        <v>5.1804249999999996</v>
      </c>
      <c r="H5" s="209"/>
      <c r="I5" s="208">
        <f>(data!$C$15-data!$C$17)/data!$C$17</f>
        <v>1.5890991873494398</v>
      </c>
      <c r="J5" s="222">
        <f>data!$C$16</f>
        <v>0.43170208333333332</v>
      </c>
      <c r="K5" s="203"/>
    </row>
    <row r="6" spans="1:11" ht="18" customHeight="1" thickBot="1" x14ac:dyDescent="0.25">
      <c r="B6" s="55" t="s">
        <v>2</v>
      </c>
      <c r="C6" s="98">
        <f>Summary_data!T15</f>
        <v>2351536</v>
      </c>
      <c r="D6" s="101">
        <f>Summary_data!H$5</f>
        <v>65720</v>
      </c>
      <c r="F6" s="201"/>
      <c r="G6" s="221"/>
      <c r="H6" s="195"/>
      <c r="I6" s="197"/>
      <c r="J6" s="223"/>
      <c r="K6" s="189"/>
    </row>
    <row r="7" spans="1:11" ht="18" customHeight="1" thickBot="1" x14ac:dyDescent="0.25">
      <c r="B7" s="55" t="s">
        <v>3</v>
      </c>
      <c r="C7" s="101" t="str">
        <f>Summary_data!T16</f>
        <v>12,355.2 GB/day</v>
      </c>
      <c r="D7" s="101" t="str">
        <f>CONCATENATE(FIXED(1024*Summary_data!$K$5,1), " GB/day")</f>
        <v>2,417.1 GB/day</v>
      </c>
      <c r="F7" s="191" t="s">
        <v>72</v>
      </c>
      <c r="G7" s="217">
        <f>data!$C$67</f>
        <v>625.93828388214115</v>
      </c>
      <c r="H7" s="195"/>
      <c r="I7" s="197">
        <f>(data!$C$67-data!$C$69)/data!$C$69</f>
        <v>2.3000466727762658</v>
      </c>
      <c r="J7" s="223">
        <f>data!$C$68</f>
        <v>52.161523656845098</v>
      </c>
      <c r="K7" s="189"/>
    </row>
    <row r="8" spans="1:11" ht="18" customHeight="1" thickBot="1" x14ac:dyDescent="0.25">
      <c r="B8" s="55" t="s">
        <v>4</v>
      </c>
      <c r="C8" s="98" t="str">
        <f>Summary_data!T17</f>
        <v>17,923.2 TB</v>
      </c>
      <c r="D8" s="101" t="str">
        <f>CONCATENATE(FIXED(Summary_data!$L$5,1), " TB")</f>
        <v>2,656.1 TB</v>
      </c>
      <c r="F8" s="201"/>
      <c r="G8" s="218"/>
      <c r="H8" s="195"/>
      <c r="I8" s="197"/>
      <c r="J8" s="223"/>
      <c r="K8" s="189"/>
    </row>
    <row r="9" spans="1:11" ht="18" customHeight="1" thickBot="1" x14ac:dyDescent="0.25">
      <c r="B9" s="55" t="s">
        <v>5</v>
      </c>
      <c r="C9" s="98" t="str">
        <f>Summary_data!T8</f>
        <v>1,512.9 M</v>
      </c>
      <c r="D9" s="102" t="str">
        <f>CONCATENATE(FIXED(Summary_data!$O$5,1), " M")</f>
        <v>5.2 M</v>
      </c>
      <c r="F9" s="191" t="s">
        <v>68</v>
      </c>
      <c r="G9" s="193">
        <f>data!$C$120</f>
        <v>20597</v>
      </c>
      <c r="H9" s="195"/>
      <c r="I9" s="197">
        <f>(data!$C$120-data!$C$121)/data!$C$121</f>
        <v>1.670080373347161</v>
      </c>
      <c r="J9" s="224">
        <f>data!$C$119</f>
        <v>2553.5833333333335</v>
      </c>
      <c r="K9" s="189"/>
    </row>
    <row r="10" spans="1:11" ht="18" customHeight="1" thickBot="1" x14ac:dyDescent="0.25">
      <c r="B10" s="56" t="s">
        <v>6</v>
      </c>
      <c r="C10" s="101" t="str">
        <f>Summary_data!T19</f>
        <v>40,987.6 GB/day</v>
      </c>
      <c r="D10" s="101" t="str">
        <f>CONCATENATE(FIXED(1024*Summary_data!$Q$5,1), " GB/day")</f>
        <v>1,751.3 GB/day</v>
      </c>
      <c r="F10" s="201"/>
      <c r="G10" s="202"/>
      <c r="H10" s="195"/>
      <c r="I10" s="197"/>
      <c r="J10" s="224"/>
      <c r="K10" s="189"/>
    </row>
    <row r="11" spans="1:11" ht="18" customHeight="1" x14ac:dyDescent="0.2">
      <c r="E11" s="5"/>
      <c r="F11" s="191" t="s">
        <v>77</v>
      </c>
      <c r="G11" s="193">
        <f>data!$C$196</f>
        <v>41371</v>
      </c>
      <c r="H11" s="195"/>
      <c r="I11" s="197">
        <f>(data!$C$196-data!$C$197)/data!$C$197</f>
        <v>0.99100052938062466</v>
      </c>
      <c r="J11" s="224">
        <f>data!$C$195</f>
        <v>5476.666666666667</v>
      </c>
      <c r="K11" s="189"/>
    </row>
    <row r="12" spans="1:11" ht="18" customHeight="1" thickBot="1" x14ac:dyDescent="0.25">
      <c r="F12" s="192"/>
      <c r="G12" s="194"/>
      <c r="H12" s="196"/>
      <c r="I12" s="198"/>
      <c r="J12" s="225"/>
      <c r="K12" s="190"/>
    </row>
    <row r="13" spans="1:11" ht="18" customHeight="1" x14ac:dyDescent="0.2"/>
    <row r="14" spans="1:11" ht="24.95" customHeight="1" x14ac:dyDescent="0.2"/>
    <row r="15" spans="1:11" ht="24.95" customHeight="1" x14ac:dyDescent="0.2"/>
    <row r="16" spans="1:11" ht="24.95" customHeight="1" x14ac:dyDescent="0.2"/>
    <row r="17" ht="24.95" customHeight="1" x14ac:dyDescent="0.2"/>
    <row r="18" ht="24.95" customHeight="1" x14ac:dyDescent="0.2"/>
    <row r="19" ht="24.95" customHeight="1" x14ac:dyDescent="0.2"/>
    <row r="20" ht="24.95" customHeight="1" x14ac:dyDescent="0.2"/>
    <row r="21" ht="24.95" customHeight="1" x14ac:dyDescent="0.2"/>
    <row r="22" ht="24.95" customHeight="1" x14ac:dyDescent="0.2"/>
    <row r="23" ht="24.95" customHeight="1" x14ac:dyDescent="0.2"/>
    <row r="24" ht="24.95" customHeight="1" x14ac:dyDescent="0.2"/>
    <row r="25" ht="24.95" customHeight="1" x14ac:dyDescent="0.2"/>
    <row r="26" ht="24.95" customHeight="1" x14ac:dyDescent="0.2"/>
    <row r="27" ht="24.95" customHeight="1" x14ac:dyDescent="0.2"/>
    <row r="28" ht="24.95" customHeight="1" x14ac:dyDescent="0.2"/>
    <row r="29" ht="24.95" customHeight="1" x14ac:dyDescent="0.2"/>
    <row r="30" ht="24.95" customHeight="1" x14ac:dyDescent="0.2"/>
    <row r="31" ht="24.95" customHeight="1" x14ac:dyDescent="0.2"/>
    <row r="32" ht="24.95" customHeight="1" x14ac:dyDescent="0.2"/>
    <row r="33" ht="30" customHeight="1" x14ac:dyDescent="0.2"/>
    <row r="34" ht="30" customHeight="1" x14ac:dyDescent="0.2"/>
    <row r="35" ht="30" customHeight="1" x14ac:dyDescent="0.2"/>
    <row r="36" ht="30" customHeight="1" x14ac:dyDescent="0.2"/>
    <row r="37" ht="30" customHeight="1" x14ac:dyDescent="0.2"/>
  </sheetData>
  <dataConsolidate/>
  <mergeCells count="28">
    <mergeCell ref="K11:K12"/>
    <mergeCell ref="F9:F10"/>
    <mergeCell ref="G9:G10"/>
    <mergeCell ref="H9:H10"/>
    <mergeCell ref="I9:I10"/>
    <mergeCell ref="J9:J10"/>
    <mergeCell ref="K9:K10"/>
    <mergeCell ref="F11:F12"/>
    <mergeCell ref="G11:G12"/>
    <mergeCell ref="H11:H12"/>
    <mergeCell ref="I11:I12"/>
    <mergeCell ref="J11:J12"/>
    <mergeCell ref="B1:K1"/>
    <mergeCell ref="K7:K8"/>
    <mergeCell ref="B2:D2"/>
    <mergeCell ref="F2:K2"/>
    <mergeCell ref="F3:F4"/>
    <mergeCell ref="F5:F6"/>
    <mergeCell ref="G5:G6"/>
    <mergeCell ref="H5:H6"/>
    <mergeCell ref="I5:I6"/>
    <mergeCell ref="J5:J6"/>
    <mergeCell ref="K5:K6"/>
    <mergeCell ref="F7:F8"/>
    <mergeCell ref="G7:G8"/>
    <mergeCell ref="H7:H8"/>
    <mergeCell ref="I7:I8"/>
    <mergeCell ref="J7:J8"/>
  </mergeCells>
  <conditionalFormatting sqref="I5">
    <cfRule type="iconSet" priority="28">
      <iconSet iconSet="3Arrows">
        <cfvo type="percent" val="0"/>
        <cfvo type="percent" val="0.1"/>
        <cfvo type="percent" val="1"/>
      </iconSet>
    </cfRule>
    <cfRule type="iconSet" priority="31">
      <iconSet showValue="0">
        <cfvo type="percent" val="0"/>
        <cfvo type="num" val="0.9"/>
        <cfvo type="num" val="0.95"/>
      </iconSet>
    </cfRule>
  </conditionalFormatting>
  <conditionalFormatting sqref="I5">
    <cfRule type="iconSet" priority="30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32">
      <iconSet>
        <cfvo type="percent" val="0"/>
        <cfvo type="percent" val="33"/>
        <cfvo type="percent" val="67"/>
      </iconSet>
    </cfRule>
    <cfRule type="iconSet" priority="33">
      <iconSet iconSet="4Arrows">
        <cfvo type="percent" val="0"/>
        <cfvo type="percent" val="25"/>
        <cfvo type="percent" val="50"/>
        <cfvo type="percentile" val="75"/>
      </iconSet>
    </cfRule>
    <cfRule type="iconSet" priority="34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35">
      <iconSet iconSet="3Arrows">
        <cfvo type="percent" val="0"/>
        <cfvo type="percent" val="33"/>
        <cfvo type="percent" val="67"/>
      </iconSet>
    </cfRule>
  </conditionalFormatting>
  <conditionalFormatting sqref="I5">
    <cfRule type="iconSet" priority="29">
      <iconSet iconSet="5Arrows">
        <cfvo type="percent" val="0"/>
        <cfvo type="num" val="-0.2"/>
        <cfvo type="num" val="-0.05"/>
        <cfvo type="num" val="0.05"/>
        <cfvo type="num" val="0.2"/>
      </iconSet>
    </cfRule>
  </conditionalFormatting>
  <conditionalFormatting sqref="K7 K5">
    <cfRule type="dataBar" priority="2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{20F6E961-3492-46A5-B5F4-0B2942E81789}</x14:id>
        </ext>
      </extLst>
    </cfRule>
  </conditionalFormatting>
  <conditionalFormatting sqref="K9">
    <cfRule type="dataBar" priority="2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{5DCEE76B-13BD-4759-88D6-68FCEA27BE4A}</x14:id>
        </ext>
      </extLst>
    </cfRule>
  </conditionalFormatting>
  <conditionalFormatting sqref="K11">
    <cfRule type="dataBar" priority="2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{B90F4E67-C5C0-44A2-8EC2-F8E65B1465CB}</x14:id>
        </ext>
      </extLst>
    </cfRule>
  </conditionalFormatting>
  <conditionalFormatting sqref="I7">
    <cfRule type="iconSet" priority="17">
      <iconSet iconSet="3Arrows">
        <cfvo type="percent" val="0"/>
        <cfvo type="num" val="-0.01"/>
        <cfvo type="num" val="0.01"/>
      </iconSet>
    </cfRule>
    <cfRule type="iconSet" priority="20">
      <iconSet showValue="0">
        <cfvo type="percent" val="0"/>
        <cfvo type="num" val="0.9"/>
        <cfvo type="num" val="0.95"/>
      </iconSet>
    </cfRule>
  </conditionalFormatting>
  <conditionalFormatting sqref="I7">
    <cfRule type="iconSet" priority="19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21">
      <iconSet>
        <cfvo type="percent" val="0"/>
        <cfvo type="percent" val="33"/>
        <cfvo type="percent" val="67"/>
      </iconSet>
    </cfRule>
    <cfRule type="iconSet" priority="22">
      <iconSet iconSet="4Arrows">
        <cfvo type="percent" val="0"/>
        <cfvo type="percent" val="25"/>
        <cfvo type="percent" val="50"/>
        <cfvo type="percentile" val="75"/>
      </iconSet>
    </cfRule>
    <cfRule type="iconSet" priority="23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24">
      <iconSet iconSet="3Arrows">
        <cfvo type="percent" val="0"/>
        <cfvo type="percent" val="33"/>
        <cfvo type="percent" val="67"/>
      </iconSet>
    </cfRule>
  </conditionalFormatting>
  <conditionalFormatting sqref="I7">
    <cfRule type="iconSet" priority="18">
      <iconSet iconSet="5Arrows">
        <cfvo type="percent" val="0"/>
        <cfvo type="num" val="-0.2"/>
        <cfvo type="num" val="-0.05"/>
        <cfvo type="num" val="0.05"/>
        <cfvo type="num" val="0.2"/>
      </iconSet>
    </cfRule>
  </conditionalFormatting>
  <conditionalFormatting sqref="I9">
    <cfRule type="iconSet" priority="9">
      <iconSet iconSet="3Arrows">
        <cfvo type="percent" val="0"/>
        <cfvo type="percent" val="0.1"/>
        <cfvo type="percent" val="1"/>
      </iconSet>
    </cfRule>
    <cfRule type="iconSet" priority="12">
      <iconSet showValue="0">
        <cfvo type="percent" val="0"/>
        <cfvo type="num" val="0.9"/>
        <cfvo type="num" val="0.95"/>
      </iconSet>
    </cfRule>
  </conditionalFormatting>
  <conditionalFormatting sqref="I9">
    <cfRule type="iconSet" priority="11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13">
      <iconSet>
        <cfvo type="percent" val="0"/>
        <cfvo type="percent" val="33"/>
        <cfvo type="percent" val="67"/>
      </iconSet>
    </cfRule>
    <cfRule type="iconSet" priority="14">
      <iconSet iconSet="4Arrows">
        <cfvo type="percent" val="0"/>
        <cfvo type="percent" val="25"/>
        <cfvo type="percent" val="50"/>
        <cfvo type="percentile" val="75"/>
      </iconSet>
    </cfRule>
    <cfRule type="iconSet" priority="15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16">
      <iconSet iconSet="3Arrows">
        <cfvo type="percent" val="0"/>
        <cfvo type="percent" val="33"/>
        <cfvo type="percent" val="67"/>
      </iconSet>
    </cfRule>
  </conditionalFormatting>
  <conditionalFormatting sqref="I9">
    <cfRule type="iconSet" priority="10">
      <iconSet iconSet="5Arrows">
        <cfvo type="percent" val="0"/>
        <cfvo type="num" val="-0.2"/>
        <cfvo type="num" val="-0.05"/>
        <cfvo type="num" val="0.05"/>
        <cfvo type="num" val="0.2"/>
      </iconSet>
    </cfRule>
  </conditionalFormatting>
  <conditionalFormatting sqref="I11">
    <cfRule type="iconSet" priority="1">
      <iconSet iconSet="3Arrows">
        <cfvo type="percent" val="0"/>
        <cfvo type="percent" val="0.1"/>
        <cfvo type="percent" val="1"/>
      </iconSet>
    </cfRule>
    <cfRule type="iconSet" priority="4">
      <iconSet showValue="0">
        <cfvo type="percent" val="0"/>
        <cfvo type="num" val="0.9"/>
        <cfvo type="num" val="0.95"/>
      </iconSet>
    </cfRule>
  </conditionalFormatting>
  <conditionalFormatting sqref="I11">
    <cfRule type="iconSet" priority="3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5">
      <iconSet>
        <cfvo type="percent" val="0"/>
        <cfvo type="percent" val="33"/>
        <cfvo type="percent" val="67"/>
      </iconSet>
    </cfRule>
    <cfRule type="iconSet" priority="6">
      <iconSet iconSet="4Arrows">
        <cfvo type="percent" val="0"/>
        <cfvo type="percent" val="25"/>
        <cfvo type="percent" val="50"/>
        <cfvo type="percentile" val="75"/>
      </iconSet>
    </cfRule>
    <cfRule type="iconSet" priority="7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8">
      <iconSet iconSet="3Arrows">
        <cfvo type="percent" val="0"/>
        <cfvo type="percent" val="33"/>
        <cfvo type="percent" val="67"/>
      </iconSet>
    </cfRule>
  </conditionalFormatting>
  <conditionalFormatting sqref="I11">
    <cfRule type="iconSet" priority="2">
      <iconSet iconSet="5Arrows">
        <cfvo type="percent" val="0"/>
        <cfvo type="num" val="-0.2"/>
        <cfvo type="num" val="-0.05"/>
        <cfvo type="num" val="0.05"/>
        <cfvo type="num" val="0.2"/>
      </iconSet>
    </cfRule>
  </conditionalFormatting>
  <pageMargins left="0.75" right="0.75" top="1" bottom="1" header="0.5" footer="0.5"/>
  <pageSetup scale="75" orientation="landscape" r:id="rId1"/>
  <headerFooter alignWithMargins="0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0F6E961-3492-46A5-B5F4-0B2942E81789}">
            <x14:dataBar minLength="0" maxLength="100" negativeBarColorSameAsPositive="1" axisPosition="none">
              <x14:cfvo type="min"/>
              <x14:cfvo type="max"/>
            </x14:dataBar>
          </x14:cfRule>
          <xm:sqref>K7 K5</xm:sqref>
        </x14:conditionalFormatting>
        <x14:conditionalFormatting xmlns:xm="http://schemas.microsoft.com/office/excel/2006/main">
          <x14:cfRule type="dataBar" id="{5DCEE76B-13BD-4759-88D6-68FCEA27BE4A}">
            <x14:dataBar minLength="0" maxLength="100" negativeBarColorSameAsPositive="1" axisPosition="none">
              <x14:cfvo type="min"/>
              <x14:cfvo type="max"/>
            </x14:dataBar>
          </x14:cfRule>
          <xm:sqref>K9</xm:sqref>
        </x14:conditionalFormatting>
        <x14:conditionalFormatting xmlns:xm="http://schemas.microsoft.com/office/excel/2006/main">
          <x14:cfRule type="dataBar" id="{B90F4E67-C5C0-44A2-8EC2-F8E65B1465CB}">
            <x14:dataBar minLength="0" maxLength="100" negativeBarColorSameAsPositive="1" axisPosition="none">
              <x14:cfvo type="min"/>
              <x14:cfvo type="max"/>
            </x14:dataBar>
          </x14:cfRule>
          <xm:sqref>K11</xm:sqref>
        </x14:conditionalFormatting>
      </x14:conditionalFormattings>
    </ext>
    <ext xmlns:x14="http://schemas.microsoft.com/office/spreadsheetml/2009/9/main" uri="{05C60535-1F16-4fd2-B633-F4F36F0B64E0}">
      <x14:sparklineGroups xmlns:xm="http://schemas.microsoft.com/office/excel/2006/main">
        <x14:sparklineGroup displayEmptyCellsAs="gap" high="1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data!C55:C66</xm:f>
              <xm:sqref>K7</xm:sqref>
            </x14:sparkline>
          </x14:sparklines>
        </x14:sparklineGroup>
        <x14:sparklineGroup displayEmptyCellsAs="gap" high="1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data!C3:C14</xm:f>
              <xm:sqref>K5</xm:sqref>
            </x14:sparkline>
          </x14:sparklines>
        </x14:sparklineGroup>
        <x14:sparklineGroup displayEmptyCellsAs="gap" high="1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data!C106:C117</xm:f>
              <xm:sqref>K9</xm:sqref>
            </x14:sparkline>
          </x14:sparklines>
        </x14:sparklineGroup>
        <x14:sparklineGroup displayEmptyCellsAs="gap" high="1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data!C182:C193</xm:f>
              <xm:sqref>K11</xm:sqref>
            </x14:sparkline>
          </x14:sparklines>
        </x14:sparklineGroup>
      </x14:sparklineGroups>
    </ex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K37"/>
  <sheetViews>
    <sheetView zoomScale="70" zoomScaleNormal="70" zoomScalePageLayoutView="90" workbookViewId="0">
      <selection activeCell="B1" sqref="B1:K32"/>
    </sheetView>
  </sheetViews>
  <sheetFormatPr defaultColWidth="11.42578125" defaultRowHeight="12.75" x14ac:dyDescent="0.2"/>
  <cols>
    <col min="1" max="1" width="7.140625" customWidth="1"/>
    <col min="2" max="2" width="51.85546875" customWidth="1"/>
    <col min="3" max="3" width="20.7109375" customWidth="1"/>
    <col min="4" max="4" width="18.7109375" customWidth="1"/>
    <col min="5" max="5" width="3.42578125" customWidth="1"/>
    <col min="6" max="6" width="15.140625" customWidth="1"/>
    <col min="7" max="7" width="13" customWidth="1"/>
    <col min="8" max="8" width="1.7109375" customWidth="1"/>
    <col min="9" max="9" width="14.42578125" customWidth="1"/>
    <col min="10" max="10" width="15" customWidth="1"/>
    <col min="11" max="11" width="29.42578125" customWidth="1"/>
    <col min="12" max="12" width="19.85546875" customWidth="1"/>
    <col min="13" max="13" width="22.140625" customWidth="1"/>
  </cols>
  <sheetData>
    <row r="1" spans="1:11" ht="51.95" customHeight="1" thickBot="1" x14ac:dyDescent="0.25">
      <c r="A1" s="9"/>
      <c r="B1" s="188" t="s">
        <v>92</v>
      </c>
      <c r="C1" s="188"/>
      <c r="D1" s="188"/>
      <c r="E1" s="188"/>
      <c r="F1" s="188"/>
      <c r="G1" s="188"/>
      <c r="H1" s="188"/>
      <c r="I1" s="188"/>
      <c r="J1" s="188"/>
      <c r="K1" s="188"/>
    </row>
    <row r="2" spans="1:11" ht="24.95" customHeight="1" thickBot="1" x14ac:dyDescent="0.25">
      <c r="B2" s="205" t="str">
        <f>CONCATENATE("FY2016 Metrics ", Summary_data!S1)</f>
        <v>FY2016 Metrics (Oct 2015 to Sep 2016)</v>
      </c>
      <c r="C2" s="206"/>
      <c r="D2" s="207"/>
      <c r="F2" s="211" t="str">
        <f>CONCATENATE(data!$D$2, " Distribution and User Trends ", Summary_data!S1)</f>
        <v>CDDIS Distribution and User Trends (Oct 2015 to Sep 2016)</v>
      </c>
      <c r="G2" s="212"/>
      <c r="H2" s="212"/>
      <c r="I2" s="213"/>
      <c r="J2" s="213"/>
      <c r="K2" s="214"/>
    </row>
    <row r="3" spans="1:11" ht="18" customHeight="1" thickBot="1" x14ac:dyDescent="0.25">
      <c r="B3" s="71" t="s">
        <v>74</v>
      </c>
      <c r="C3" s="71" t="s">
        <v>73</v>
      </c>
      <c r="D3" s="71" t="str">
        <f>Summary_data!C6</f>
        <v>CDDIS</v>
      </c>
      <c r="F3" s="215" t="s">
        <v>74</v>
      </c>
      <c r="G3" s="72" t="s">
        <v>16</v>
      </c>
      <c r="H3" s="73"/>
      <c r="I3" s="74" t="s">
        <v>34</v>
      </c>
      <c r="J3" s="74" t="s">
        <v>41</v>
      </c>
      <c r="K3" s="75" t="s">
        <v>35</v>
      </c>
    </row>
    <row r="4" spans="1:11" ht="18" customHeight="1" thickBot="1" x14ac:dyDescent="0.25">
      <c r="B4" s="54" t="s">
        <v>0</v>
      </c>
      <c r="C4" s="98">
        <f>Summary_data!T13</f>
        <v>11140</v>
      </c>
      <c r="D4" s="100">
        <f>Summary_data!D$6</f>
        <v>231</v>
      </c>
      <c r="F4" s="216"/>
      <c r="G4" s="76" t="s">
        <v>89</v>
      </c>
      <c r="H4" s="77"/>
      <c r="I4" s="78" t="s">
        <v>22</v>
      </c>
      <c r="J4" s="77" t="s">
        <v>36</v>
      </c>
      <c r="K4" s="79" t="s">
        <v>37</v>
      </c>
    </row>
    <row r="5" spans="1:11" ht="18" customHeight="1" thickBot="1" x14ac:dyDescent="0.25">
      <c r="B5" s="55" t="s">
        <v>1</v>
      </c>
      <c r="C5" s="98">
        <f>Summary_data!T14</f>
        <v>3210968</v>
      </c>
      <c r="D5" s="101">
        <f>Summary_data!G$6</f>
        <v>244036</v>
      </c>
      <c r="F5" s="219" t="s">
        <v>78</v>
      </c>
      <c r="G5" s="228">
        <f>data!$D$15</f>
        <v>316.508622</v>
      </c>
      <c r="H5" s="209"/>
      <c r="I5" s="208">
        <f>(data!$D$15-data!$D$17)/data!$D$17</f>
        <v>0.8397771550555253</v>
      </c>
      <c r="J5" s="210">
        <f>data!$D$16</f>
        <v>26.375718500000001</v>
      </c>
      <c r="K5" s="203"/>
    </row>
    <row r="6" spans="1:11" ht="18" customHeight="1" thickBot="1" x14ac:dyDescent="0.25">
      <c r="B6" s="55" t="s">
        <v>2</v>
      </c>
      <c r="C6" s="98">
        <f>Summary_data!T15</f>
        <v>2351536</v>
      </c>
      <c r="D6" s="101">
        <f>Summary_data!H$6</f>
        <v>10869</v>
      </c>
      <c r="F6" s="201"/>
      <c r="G6" s="229"/>
      <c r="H6" s="195"/>
      <c r="I6" s="197"/>
      <c r="J6" s="204"/>
      <c r="K6" s="189"/>
    </row>
    <row r="7" spans="1:11" ht="18" customHeight="1" thickBot="1" x14ac:dyDescent="0.25">
      <c r="B7" s="55" t="s">
        <v>3</v>
      </c>
      <c r="C7" s="99" t="str">
        <f>Summary_data!T16</f>
        <v>12,355.2 GB/day</v>
      </c>
      <c r="D7" s="99" t="str">
        <f>CONCATENATE(FIXED(1024*Summary_data!$K$6,2), " GB/day")</f>
        <v>7.71 GB/day</v>
      </c>
      <c r="F7" s="191" t="s">
        <v>72</v>
      </c>
      <c r="G7" s="230">
        <f>data!$D$67</f>
        <v>143.02083835122664</v>
      </c>
      <c r="H7" s="195"/>
      <c r="I7" s="197">
        <f>(data!$D$67-data!$D$69)/data!$D$69</f>
        <v>0.52690859629463527</v>
      </c>
      <c r="J7" s="204">
        <f>data!$D$68</f>
        <v>11.918403195935554</v>
      </c>
      <c r="K7" s="189"/>
    </row>
    <row r="8" spans="1:11" ht="18" customHeight="1" thickBot="1" x14ac:dyDescent="0.25">
      <c r="B8" s="55" t="s">
        <v>4</v>
      </c>
      <c r="C8" s="98" t="str">
        <f>Summary_data!T17</f>
        <v>17,923.2 TB</v>
      </c>
      <c r="D8" s="102" t="str">
        <f>CONCATENATE(FIXED(Summary_data!$L$6,1), " TB")</f>
        <v>17.5 TB</v>
      </c>
      <c r="F8" s="201"/>
      <c r="G8" s="231"/>
      <c r="H8" s="195"/>
      <c r="I8" s="197"/>
      <c r="J8" s="204"/>
      <c r="K8" s="189"/>
    </row>
    <row r="9" spans="1:11" ht="18" customHeight="1" thickBot="1" x14ac:dyDescent="0.25">
      <c r="B9" s="55" t="s">
        <v>5</v>
      </c>
      <c r="C9" s="104" t="str">
        <f>Summary_data!T18</f>
        <v>1,512.9 M</v>
      </c>
      <c r="D9" s="101" t="str">
        <f>CONCATENATE(FIXED(Summary_data!$O$6,1)," M")</f>
        <v>316.5 M</v>
      </c>
      <c r="F9" s="191" t="s">
        <v>68</v>
      </c>
      <c r="G9" s="193">
        <f>data!$D$120</f>
        <v>239164</v>
      </c>
      <c r="H9" s="195"/>
      <c r="I9" s="197">
        <f>(data!$D$120-data!$D$121)/data!$D$121</f>
        <v>0.34625754991528335</v>
      </c>
      <c r="J9" s="199">
        <f>data!$D$119</f>
        <v>27038.75</v>
      </c>
      <c r="K9" s="189"/>
    </row>
    <row r="10" spans="1:11" ht="18" customHeight="1" thickBot="1" x14ac:dyDescent="0.25">
      <c r="B10" s="56" t="s">
        <v>6</v>
      </c>
      <c r="C10" s="99" t="str">
        <f>Summary_data!T19</f>
        <v>40,987.6 GB/day</v>
      </c>
      <c r="D10" s="101" t="str">
        <f>CONCATENATE(FIXED(1024*Summary_data!$Q$6,1), " GB/day")</f>
        <v>400.1 GB/day</v>
      </c>
      <c r="F10" s="201"/>
      <c r="G10" s="226"/>
      <c r="H10" s="195"/>
      <c r="I10" s="197"/>
      <c r="J10" s="199"/>
      <c r="K10" s="189"/>
    </row>
    <row r="11" spans="1:11" ht="18" customHeight="1" x14ac:dyDescent="0.2">
      <c r="E11" s="5"/>
      <c r="F11" s="191" t="s">
        <v>77</v>
      </c>
      <c r="G11" s="193">
        <f>data!$D$196</f>
        <v>8640</v>
      </c>
      <c r="H11" s="195"/>
      <c r="I11" s="197">
        <f>(data!$D$196-data!$D$197)/data!$D$197</f>
        <v>0.31426832978399755</v>
      </c>
      <c r="J11" s="199">
        <f>data!$D$195</f>
        <v>905.75</v>
      </c>
      <c r="K11" s="189"/>
    </row>
    <row r="12" spans="1:11" ht="18" customHeight="1" thickBot="1" x14ac:dyDescent="0.25">
      <c r="F12" s="192"/>
      <c r="G12" s="227"/>
      <c r="H12" s="196"/>
      <c r="I12" s="198"/>
      <c r="J12" s="200"/>
      <c r="K12" s="190"/>
    </row>
    <row r="13" spans="1:11" ht="18" customHeight="1" x14ac:dyDescent="0.2"/>
    <row r="14" spans="1:11" ht="24.95" customHeight="1" x14ac:dyDescent="0.2"/>
    <row r="15" spans="1:11" ht="24.95" customHeight="1" x14ac:dyDescent="0.2"/>
    <row r="16" spans="1:11" ht="24.95" customHeight="1" x14ac:dyDescent="0.2"/>
    <row r="17" ht="24.95" customHeight="1" x14ac:dyDescent="0.2"/>
    <row r="18" ht="24.95" customHeight="1" x14ac:dyDescent="0.2"/>
    <row r="19" ht="24.95" customHeight="1" x14ac:dyDescent="0.2"/>
    <row r="20" ht="24.95" customHeight="1" x14ac:dyDescent="0.2"/>
    <row r="21" ht="24.95" customHeight="1" x14ac:dyDescent="0.2"/>
    <row r="22" ht="24.95" customHeight="1" x14ac:dyDescent="0.2"/>
    <row r="23" ht="24.95" customHeight="1" x14ac:dyDescent="0.2"/>
    <row r="24" ht="24.95" customHeight="1" x14ac:dyDescent="0.2"/>
    <row r="25" ht="24.95" customHeight="1" x14ac:dyDescent="0.2"/>
    <row r="26" ht="24.95" customHeight="1" x14ac:dyDescent="0.2"/>
    <row r="27" ht="24.95" customHeight="1" x14ac:dyDescent="0.2"/>
    <row r="28" ht="24.95" customHeight="1" x14ac:dyDescent="0.2"/>
    <row r="29" ht="24.95" customHeight="1" x14ac:dyDescent="0.2"/>
    <row r="30" ht="24.95" customHeight="1" x14ac:dyDescent="0.2"/>
    <row r="31" ht="24.95" customHeight="1" x14ac:dyDescent="0.2"/>
    <row r="32" ht="24.95" customHeight="1" x14ac:dyDescent="0.2"/>
    <row r="33" ht="30" customHeight="1" x14ac:dyDescent="0.2"/>
    <row r="34" ht="30" customHeight="1" x14ac:dyDescent="0.2"/>
    <row r="35" ht="30" customHeight="1" x14ac:dyDescent="0.2"/>
    <row r="36" ht="30" customHeight="1" x14ac:dyDescent="0.2"/>
    <row r="37" ht="30" customHeight="1" x14ac:dyDescent="0.2"/>
  </sheetData>
  <dataConsolidate/>
  <mergeCells count="28">
    <mergeCell ref="J5:J6"/>
    <mergeCell ref="K5:K6"/>
    <mergeCell ref="F7:F8"/>
    <mergeCell ref="G7:G8"/>
    <mergeCell ref="H7:H8"/>
    <mergeCell ref="I7:I8"/>
    <mergeCell ref="J7:J8"/>
    <mergeCell ref="F3:F4"/>
    <mergeCell ref="F5:F6"/>
    <mergeCell ref="G5:G6"/>
    <mergeCell ref="H5:H6"/>
    <mergeCell ref="I5:I6"/>
    <mergeCell ref="B1:K1"/>
    <mergeCell ref="K11:K12"/>
    <mergeCell ref="F9:F10"/>
    <mergeCell ref="G9:G10"/>
    <mergeCell ref="H9:H10"/>
    <mergeCell ref="I9:I10"/>
    <mergeCell ref="J9:J10"/>
    <mergeCell ref="K9:K10"/>
    <mergeCell ref="F11:F12"/>
    <mergeCell ref="G11:G12"/>
    <mergeCell ref="H11:H12"/>
    <mergeCell ref="I11:I12"/>
    <mergeCell ref="J11:J12"/>
    <mergeCell ref="K7:K8"/>
    <mergeCell ref="B2:D2"/>
    <mergeCell ref="F2:K2"/>
  </mergeCells>
  <conditionalFormatting sqref="I5">
    <cfRule type="iconSet" priority="28">
      <iconSet iconSet="3Arrows">
        <cfvo type="percent" val="0"/>
        <cfvo type="percent" val="0.1"/>
        <cfvo type="percent" val="1"/>
      </iconSet>
    </cfRule>
    <cfRule type="iconSet" priority="31">
      <iconSet showValue="0">
        <cfvo type="percent" val="0"/>
        <cfvo type="num" val="0.9"/>
        <cfvo type="num" val="0.95"/>
      </iconSet>
    </cfRule>
  </conditionalFormatting>
  <conditionalFormatting sqref="I5">
    <cfRule type="iconSet" priority="30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32">
      <iconSet>
        <cfvo type="percent" val="0"/>
        <cfvo type="percent" val="33"/>
        <cfvo type="percent" val="67"/>
      </iconSet>
    </cfRule>
    <cfRule type="iconSet" priority="33">
      <iconSet iconSet="4Arrows">
        <cfvo type="percent" val="0"/>
        <cfvo type="percent" val="25"/>
        <cfvo type="percent" val="50"/>
        <cfvo type="percentile" val="75"/>
      </iconSet>
    </cfRule>
    <cfRule type="iconSet" priority="34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35">
      <iconSet iconSet="3Arrows">
        <cfvo type="percent" val="0"/>
        <cfvo type="percent" val="33"/>
        <cfvo type="percent" val="67"/>
      </iconSet>
    </cfRule>
  </conditionalFormatting>
  <conditionalFormatting sqref="I5">
    <cfRule type="iconSet" priority="29">
      <iconSet iconSet="5Arrows">
        <cfvo type="percent" val="0"/>
        <cfvo type="num" val="-0.2"/>
        <cfvo type="num" val="-0.05"/>
        <cfvo type="num" val="0.05"/>
        <cfvo type="num" val="0.2"/>
      </iconSet>
    </cfRule>
  </conditionalFormatting>
  <conditionalFormatting sqref="K7 K5">
    <cfRule type="dataBar" priority="2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{B3E61D38-AF46-3942-98B4-4A05060E3E1C}</x14:id>
        </ext>
      </extLst>
    </cfRule>
  </conditionalFormatting>
  <conditionalFormatting sqref="K9">
    <cfRule type="dataBar" priority="2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{A35396C3-EFD6-8845-BA57-3F3E0E389052}</x14:id>
        </ext>
      </extLst>
    </cfRule>
  </conditionalFormatting>
  <conditionalFormatting sqref="K11">
    <cfRule type="dataBar" priority="2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{F5364324-3E38-C342-9AC5-88A4FF93E5F3}</x14:id>
        </ext>
      </extLst>
    </cfRule>
  </conditionalFormatting>
  <conditionalFormatting sqref="I7">
    <cfRule type="iconSet" priority="17">
      <iconSet iconSet="3Arrows">
        <cfvo type="percent" val="0"/>
        <cfvo type="num" val="-0.01"/>
        <cfvo type="num" val="0.01"/>
      </iconSet>
    </cfRule>
    <cfRule type="iconSet" priority="20">
      <iconSet showValue="0">
        <cfvo type="percent" val="0"/>
        <cfvo type="num" val="0.9"/>
        <cfvo type="num" val="0.95"/>
      </iconSet>
    </cfRule>
  </conditionalFormatting>
  <conditionalFormatting sqref="I7">
    <cfRule type="iconSet" priority="19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21">
      <iconSet>
        <cfvo type="percent" val="0"/>
        <cfvo type="percent" val="33"/>
        <cfvo type="percent" val="67"/>
      </iconSet>
    </cfRule>
    <cfRule type="iconSet" priority="22">
      <iconSet iconSet="4Arrows">
        <cfvo type="percent" val="0"/>
        <cfvo type="percent" val="25"/>
        <cfvo type="percent" val="50"/>
        <cfvo type="percentile" val="75"/>
      </iconSet>
    </cfRule>
    <cfRule type="iconSet" priority="23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24">
      <iconSet iconSet="3Arrows">
        <cfvo type="percent" val="0"/>
        <cfvo type="percent" val="33"/>
        <cfvo type="percent" val="67"/>
      </iconSet>
    </cfRule>
  </conditionalFormatting>
  <conditionalFormatting sqref="I7">
    <cfRule type="iconSet" priority="18">
      <iconSet iconSet="5Arrows">
        <cfvo type="percent" val="0"/>
        <cfvo type="num" val="-0.2"/>
        <cfvo type="num" val="-0.05"/>
        <cfvo type="num" val="0.05"/>
        <cfvo type="num" val="0.2"/>
      </iconSet>
    </cfRule>
  </conditionalFormatting>
  <conditionalFormatting sqref="I9">
    <cfRule type="iconSet" priority="9">
      <iconSet iconSet="3Arrows">
        <cfvo type="percent" val="0"/>
        <cfvo type="percent" val="0.1"/>
        <cfvo type="percent" val="1"/>
      </iconSet>
    </cfRule>
    <cfRule type="iconSet" priority="12">
      <iconSet showValue="0">
        <cfvo type="percent" val="0"/>
        <cfvo type="num" val="0.9"/>
        <cfvo type="num" val="0.95"/>
      </iconSet>
    </cfRule>
  </conditionalFormatting>
  <conditionalFormatting sqref="I9">
    <cfRule type="iconSet" priority="11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13">
      <iconSet>
        <cfvo type="percent" val="0"/>
        <cfvo type="percent" val="33"/>
        <cfvo type="percent" val="67"/>
      </iconSet>
    </cfRule>
    <cfRule type="iconSet" priority="14">
      <iconSet iconSet="4Arrows">
        <cfvo type="percent" val="0"/>
        <cfvo type="percent" val="25"/>
        <cfvo type="percent" val="50"/>
        <cfvo type="percentile" val="75"/>
      </iconSet>
    </cfRule>
    <cfRule type="iconSet" priority="15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16">
      <iconSet iconSet="3Arrows">
        <cfvo type="percent" val="0"/>
        <cfvo type="percent" val="33"/>
        <cfvo type="percent" val="67"/>
      </iconSet>
    </cfRule>
  </conditionalFormatting>
  <conditionalFormatting sqref="I9">
    <cfRule type="iconSet" priority="10">
      <iconSet iconSet="5Arrows">
        <cfvo type="percent" val="0"/>
        <cfvo type="num" val="-0.2"/>
        <cfvo type="num" val="-0.05"/>
        <cfvo type="num" val="0.05"/>
        <cfvo type="num" val="0.2"/>
      </iconSet>
    </cfRule>
  </conditionalFormatting>
  <conditionalFormatting sqref="I11">
    <cfRule type="iconSet" priority="1">
      <iconSet iconSet="3Arrows">
        <cfvo type="percent" val="0"/>
        <cfvo type="percent" val="0.1"/>
        <cfvo type="percent" val="1"/>
      </iconSet>
    </cfRule>
    <cfRule type="iconSet" priority="4">
      <iconSet showValue="0">
        <cfvo type="percent" val="0"/>
        <cfvo type="num" val="0.9"/>
        <cfvo type="num" val="0.95"/>
      </iconSet>
    </cfRule>
  </conditionalFormatting>
  <conditionalFormatting sqref="I11">
    <cfRule type="iconSet" priority="3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5">
      <iconSet>
        <cfvo type="percent" val="0"/>
        <cfvo type="percent" val="33"/>
        <cfvo type="percent" val="67"/>
      </iconSet>
    </cfRule>
    <cfRule type="iconSet" priority="6">
      <iconSet iconSet="4Arrows">
        <cfvo type="percent" val="0"/>
        <cfvo type="percent" val="25"/>
        <cfvo type="percent" val="50"/>
        <cfvo type="percentile" val="75"/>
      </iconSet>
    </cfRule>
    <cfRule type="iconSet" priority="7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8">
      <iconSet iconSet="3Arrows">
        <cfvo type="percent" val="0"/>
        <cfvo type="percent" val="33"/>
        <cfvo type="percent" val="67"/>
      </iconSet>
    </cfRule>
  </conditionalFormatting>
  <conditionalFormatting sqref="I11">
    <cfRule type="iconSet" priority="2">
      <iconSet iconSet="5Arrows">
        <cfvo type="percent" val="0"/>
        <cfvo type="num" val="-0.2"/>
        <cfvo type="num" val="-0.05"/>
        <cfvo type="num" val="0.05"/>
        <cfvo type="num" val="0.2"/>
      </iconSet>
    </cfRule>
  </conditionalFormatting>
  <pageMargins left="0.75" right="0.75" top="1" bottom="1" header="0.5" footer="0.5"/>
  <pageSetup scale="75" orientation="landscape" r:id="rId1"/>
  <headerFooter alignWithMargins="0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3E61D38-AF46-3942-98B4-4A05060E3E1C}">
            <x14:dataBar minLength="0" maxLength="100" negativeBarColorSameAsPositive="1" axisPosition="none">
              <x14:cfvo type="min"/>
              <x14:cfvo type="max"/>
            </x14:dataBar>
          </x14:cfRule>
          <xm:sqref>K7 K5</xm:sqref>
        </x14:conditionalFormatting>
        <x14:conditionalFormatting xmlns:xm="http://schemas.microsoft.com/office/excel/2006/main">
          <x14:cfRule type="dataBar" id="{A35396C3-EFD6-8845-BA57-3F3E0E389052}">
            <x14:dataBar minLength="0" maxLength="100" negativeBarColorSameAsPositive="1" axisPosition="none">
              <x14:cfvo type="min"/>
              <x14:cfvo type="max"/>
            </x14:dataBar>
          </x14:cfRule>
          <xm:sqref>K9</xm:sqref>
        </x14:conditionalFormatting>
        <x14:conditionalFormatting xmlns:xm="http://schemas.microsoft.com/office/excel/2006/main">
          <x14:cfRule type="dataBar" id="{F5364324-3E38-C342-9AC5-88A4FF93E5F3}">
            <x14:dataBar minLength="0" maxLength="100" negativeBarColorSameAsPositive="1" axisPosition="none">
              <x14:cfvo type="min"/>
              <x14:cfvo type="max"/>
            </x14:dataBar>
          </x14:cfRule>
          <xm:sqref>K11</xm:sqref>
        </x14:conditionalFormatting>
      </x14:conditionalFormattings>
    </ext>
    <ext xmlns:x14="http://schemas.microsoft.com/office/spreadsheetml/2009/9/main" uri="{05C60535-1F16-4fd2-B633-F4F36F0B64E0}">
      <x14:sparklineGroups xmlns:xm="http://schemas.microsoft.com/office/excel/2006/main">
        <x14:sparklineGroup displayEmptyCellsAs="gap" high="1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data!D182:D193</xm:f>
              <xm:sqref>K11</xm:sqref>
            </x14:sparkline>
          </x14:sparklines>
        </x14:sparklineGroup>
        <x14:sparklineGroup displayEmptyCellsAs="gap" high="1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data!D106:D117</xm:f>
              <xm:sqref>K9</xm:sqref>
            </x14:sparkline>
          </x14:sparklines>
        </x14:sparklineGroup>
        <x14:sparklineGroup displayEmptyCellsAs="gap" high="1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data!D3:D14</xm:f>
              <xm:sqref>K5</xm:sqref>
            </x14:sparkline>
          </x14:sparklines>
        </x14:sparklineGroup>
        <x14:sparklineGroup displayEmptyCellsAs="gap" high="1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data!D55:D66</xm:f>
              <xm:sqref>K7</xm:sqref>
            </x14:sparkline>
          </x14:sparklines>
        </x14:sparklineGroup>
      </x14:sparklineGroups>
    </ex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K37"/>
  <sheetViews>
    <sheetView zoomScale="70" zoomScaleNormal="70" zoomScalePageLayoutView="90" workbookViewId="0">
      <selection activeCell="M27" sqref="M27"/>
    </sheetView>
  </sheetViews>
  <sheetFormatPr defaultColWidth="11.42578125" defaultRowHeight="12.75" x14ac:dyDescent="0.2"/>
  <cols>
    <col min="1" max="1" width="7.140625" customWidth="1"/>
    <col min="2" max="2" width="51.85546875" customWidth="1"/>
    <col min="3" max="3" width="20.7109375" customWidth="1"/>
    <col min="4" max="4" width="22.5703125" customWidth="1"/>
    <col min="5" max="5" width="3.42578125" customWidth="1"/>
    <col min="6" max="6" width="15.140625" customWidth="1"/>
    <col min="7" max="7" width="13" customWidth="1"/>
    <col min="8" max="8" width="1.7109375" customWidth="1"/>
    <col min="9" max="9" width="14.42578125" customWidth="1"/>
    <col min="10" max="10" width="15" customWidth="1"/>
    <col min="11" max="11" width="29.42578125" customWidth="1"/>
    <col min="12" max="12" width="19.85546875" customWidth="1"/>
    <col min="13" max="13" width="22.140625" customWidth="1"/>
  </cols>
  <sheetData>
    <row r="1" spans="1:11" ht="51.95" customHeight="1" thickBot="1" x14ac:dyDescent="0.25">
      <c r="A1" s="9"/>
      <c r="B1" s="188" t="s">
        <v>94</v>
      </c>
      <c r="C1" s="188"/>
      <c r="D1" s="188"/>
      <c r="E1" s="188"/>
      <c r="F1" s="188"/>
      <c r="G1" s="188"/>
      <c r="H1" s="188"/>
      <c r="I1" s="188"/>
      <c r="J1" s="188"/>
      <c r="K1" s="188"/>
    </row>
    <row r="2" spans="1:11" ht="24.95" customHeight="1" thickBot="1" x14ac:dyDescent="0.25">
      <c r="B2" s="205" t="str">
        <f>CONCATENATE("FY2016 Metrics ", Summary_data!S1)</f>
        <v>FY2016 Metrics (Oct 2015 to Sep 2016)</v>
      </c>
      <c r="C2" s="206"/>
      <c r="D2" s="207"/>
      <c r="F2" s="211" t="str">
        <f>CONCATENATE(data!$E$2, " Distribution and User Trends ", Summary_data!S1)</f>
        <v>GESDISC Distribution and User Trends (Oct 2015 to Sep 2016)</v>
      </c>
      <c r="G2" s="212"/>
      <c r="H2" s="212"/>
      <c r="I2" s="213"/>
      <c r="J2" s="213"/>
      <c r="K2" s="214"/>
    </row>
    <row r="3" spans="1:11" ht="18" customHeight="1" thickBot="1" x14ac:dyDescent="0.25">
      <c r="B3" s="71" t="s">
        <v>74</v>
      </c>
      <c r="C3" s="71" t="s">
        <v>73</v>
      </c>
      <c r="D3" s="71" t="str">
        <f>Summary_data!$C$7</f>
        <v>GESDISC</v>
      </c>
      <c r="F3" s="215" t="s">
        <v>74</v>
      </c>
      <c r="G3" s="72" t="s">
        <v>16</v>
      </c>
      <c r="H3" s="73"/>
      <c r="I3" s="74" t="s">
        <v>34</v>
      </c>
      <c r="J3" s="74" t="s">
        <v>41</v>
      </c>
      <c r="K3" s="75" t="s">
        <v>35</v>
      </c>
    </row>
    <row r="4" spans="1:11" ht="18" customHeight="1" thickBot="1" x14ac:dyDescent="0.25">
      <c r="B4" s="54" t="s">
        <v>0</v>
      </c>
      <c r="C4" s="98">
        <f>Summary_data!T13</f>
        <v>11140</v>
      </c>
      <c r="D4" s="100">
        <f>Summary_data!$D$7</f>
        <v>2794</v>
      </c>
      <c r="F4" s="216"/>
      <c r="G4" s="76" t="s">
        <v>89</v>
      </c>
      <c r="H4" s="77"/>
      <c r="I4" s="78" t="s">
        <v>22</v>
      </c>
      <c r="J4" s="77" t="s">
        <v>36</v>
      </c>
      <c r="K4" s="79" t="s">
        <v>37</v>
      </c>
    </row>
    <row r="5" spans="1:11" ht="18" customHeight="1" thickBot="1" x14ac:dyDescent="0.25">
      <c r="B5" s="55" t="s">
        <v>1</v>
      </c>
      <c r="C5" s="98">
        <f>Summary_data!T14</f>
        <v>3210968</v>
      </c>
      <c r="D5" s="101">
        <f>Summary_data!G$7</f>
        <v>359094</v>
      </c>
      <c r="F5" s="219" t="s">
        <v>78</v>
      </c>
      <c r="G5" s="228">
        <f>data!$E$15</f>
        <v>409.16399200000001</v>
      </c>
      <c r="H5" s="209"/>
      <c r="I5" s="208">
        <f>(data!$E$15-data!$E$17)/data!$E$17</f>
        <v>1.0130181639414447E-2</v>
      </c>
      <c r="J5" s="210">
        <f>data!$E$16</f>
        <v>34.096999333333336</v>
      </c>
      <c r="K5" s="203"/>
    </row>
    <row r="6" spans="1:11" ht="18" customHeight="1" thickBot="1" x14ac:dyDescent="0.25">
      <c r="B6" s="55" t="s">
        <v>2</v>
      </c>
      <c r="C6" s="98">
        <f>Summary_data!T15</f>
        <v>2351536</v>
      </c>
      <c r="D6" s="101">
        <f>Summary_data!H$7</f>
        <v>206088</v>
      </c>
      <c r="F6" s="201"/>
      <c r="G6" s="229"/>
      <c r="H6" s="195"/>
      <c r="I6" s="197"/>
      <c r="J6" s="204"/>
      <c r="K6" s="189"/>
    </row>
    <row r="7" spans="1:11" ht="18" customHeight="1" thickBot="1" x14ac:dyDescent="0.25">
      <c r="B7" s="55" t="s">
        <v>3</v>
      </c>
      <c r="C7" s="99" t="str">
        <f>Summary_data!T16</f>
        <v>12,355.2 GB/day</v>
      </c>
      <c r="D7" s="99" t="str">
        <f>CONCATENATE(FIXED(1024*Summary_data!$K$7,1), " GB/day")</f>
        <v>1,830.1 GB/day</v>
      </c>
      <c r="F7" s="191" t="s">
        <v>72</v>
      </c>
      <c r="G7" s="230">
        <f>data!$E$67</f>
        <v>4058.9668372702859</v>
      </c>
      <c r="H7" s="195"/>
      <c r="I7" s="197">
        <f>(data!$E$67-data!$E$69)/data!$E$69</f>
        <v>0.95951243392209162</v>
      </c>
      <c r="J7" s="204">
        <f>data!$E$68</f>
        <v>338.24723643919049</v>
      </c>
      <c r="K7" s="189"/>
    </row>
    <row r="8" spans="1:11" ht="18" customHeight="1" thickBot="1" x14ac:dyDescent="0.25">
      <c r="B8" s="55" t="s">
        <v>4</v>
      </c>
      <c r="C8" s="98" t="str">
        <f>Summary_data!T17</f>
        <v>17,923.2 TB</v>
      </c>
      <c r="D8" s="102" t="str">
        <f>CONCATENATE(FIXED(Summary_data!$L$7,1), " TB")</f>
        <v>1,425.6 TB</v>
      </c>
      <c r="F8" s="201"/>
      <c r="G8" s="231"/>
      <c r="H8" s="195"/>
      <c r="I8" s="197"/>
      <c r="J8" s="204"/>
      <c r="K8" s="189"/>
    </row>
    <row r="9" spans="1:11" ht="18" customHeight="1" thickBot="1" x14ac:dyDescent="0.25">
      <c r="B9" s="55" t="s">
        <v>5</v>
      </c>
      <c r="C9" s="98" t="str">
        <f>Summary_data!T18</f>
        <v>1,512.9 M</v>
      </c>
      <c r="D9" s="101" t="str">
        <f>CONCATENATE(FIXED(Summary_data!$O$7,1), " M")</f>
        <v>409.2 M</v>
      </c>
      <c r="F9" s="191" t="s">
        <v>68</v>
      </c>
      <c r="G9" s="193">
        <f>data!$E$120</f>
        <v>277044</v>
      </c>
      <c r="H9" s="195"/>
      <c r="I9" s="197">
        <f>(data!$E$120-data!$E$121)/data!$E$121</f>
        <v>0.93425958248970187</v>
      </c>
      <c r="J9" s="199">
        <f>data!$E$119</f>
        <v>28313.25</v>
      </c>
      <c r="K9" s="189"/>
    </row>
    <row r="10" spans="1:11" ht="21" customHeight="1" thickBot="1" x14ac:dyDescent="0.25">
      <c r="B10" s="56" t="s">
        <v>6</v>
      </c>
      <c r="C10" s="99" t="str">
        <f>Summary_data!T19</f>
        <v>40,987.6 GB/day</v>
      </c>
      <c r="D10" s="101" t="str">
        <f>CONCATENATE(FIXED(1024*Summary_data!$Q$7,1), " GB/day")</f>
        <v>11,356.2 GB/day</v>
      </c>
      <c r="F10" s="201"/>
      <c r="G10" s="226"/>
      <c r="H10" s="195"/>
      <c r="I10" s="197"/>
      <c r="J10" s="199"/>
      <c r="K10" s="189"/>
    </row>
    <row r="11" spans="1:11" ht="18" customHeight="1" x14ac:dyDescent="0.2">
      <c r="E11" s="5"/>
      <c r="F11" s="191" t="s">
        <v>77</v>
      </c>
      <c r="G11" s="193">
        <f>data!$E$196</f>
        <v>128457</v>
      </c>
      <c r="H11" s="195"/>
      <c r="I11" s="197">
        <f>(data!$E$196-data!$E$197)/data!$E$197</f>
        <v>-9.1386859248675525E-2</v>
      </c>
      <c r="J11" s="199">
        <f>data!$E$195</f>
        <v>17174</v>
      </c>
      <c r="K11" s="189"/>
    </row>
    <row r="12" spans="1:11" ht="18" customHeight="1" thickBot="1" x14ac:dyDescent="0.25">
      <c r="F12" s="192"/>
      <c r="G12" s="227"/>
      <c r="H12" s="196"/>
      <c r="I12" s="198"/>
      <c r="J12" s="200"/>
      <c r="K12" s="190"/>
    </row>
    <row r="13" spans="1:11" ht="18" customHeight="1" x14ac:dyDescent="0.2"/>
    <row r="14" spans="1:11" ht="24.95" customHeight="1" x14ac:dyDescent="0.2"/>
    <row r="15" spans="1:11" ht="24.95" customHeight="1" x14ac:dyDescent="0.2"/>
    <row r="16" spans="1:11" ht="24.95" customHeight="1" x14ac:dyDescent="0.2"/>
    <row r="17" ht="24.95" customHeight="1" x14ac:dyDescent="0.2"/>
    <row r="18" ht="24.95" customHeight="1" x14ac:dyDescent="0.2"/>
    <row r="19" ht="24.95" customHeight="1" x14ac:dyDescent="0.2"/>
    <row r="20" ht="24.95" customHeight="1" x14ac:dyDescent="0.2"/>
    <row r="21" ht="24.95" customHeight="1" x14ac:dyDescent="0.2"/>
    <row r="22" ht="24.95" customHeight="1" x14ac:dyDescent="0.2"/>
    <row r="23" ht="24.95" customHeight="1" x14ac:dyDescent="0.2"/>
    <row r="24" ht="24.95" customHeight="1" x14ac:dyDescent="0.2"/>
    <row r="25" ht="24.95" customHeight="1" x14ac:dyDescent="0.2"/>
    <row r="26" ht="24.95" customHeight="1" x14ac:dyDescent="0.2"/>
    <row r="27" ht="24.95" customHeight="1" x14ac:dyDescent="0.2"/>
    <row r="28" ht="24.95" customHeight="1" x14ac:dyDescent="0.2"/>
    <row r="29" ht="24.95" customHeight="1" x14ac:dyDescent="0.2"/>
    <row r="30" ht="24.95" customHeight="1" x14ac:dyDescent="0.2"/>
    <row r="31" ht="24.95" customHeight="1" x14ac:dyDescent="0.2"/>
    <row r="32" ht="24.95" customHeight="1" x14ac:dyDescent="0.2"/>
    <row r="33" ht="30" customHeight="1" x14ac:dyDescent="0.2"/>
    <row r="34" ht="30" customHeight="1" x14ac:dyDescent="0.2"/>
    <row r="35" ht="30" customHeight="1" x14ac:dyDescent="0.2"/>
    <row r="36" ht="30" customHeight="1" x14ac:dyDescent="0.2"/>
    <row r="37" ht="30" customHeight="1" x14ac:dyDescent="0.2"/>
  </sheetData>
  <dataConsolidate/>
  <mergeCells count="28">
    <mergeCell ref="J5:J6"/>
    <mergeCell ref="K5:K6"/>
    <mergeCell ref="F7:F8"/>
    <mergeCell ref="G7:G8"/>
    <mergeCell ref="H7:H8"/>
    <mergeCell ref="I7:I8"/>
    <mergeCell ref="J7:J8"/>
    <mergeCell ref="F3:F4"/>
    <mergeCell ref="F5:F6"/>
    <mergeCell ref="G5:G6"/>
    <mergeCell ref="H5:H6"/>
    <mergeCell ref="I5:I6"/>
    <mergeCell ref="B1:K1"/>
    <mergeCell ref="K11:K12"/>
    <mergeCell ref="F9:F10"/>
    <mergeCell ref="G9:G10"/>
    <mergeCell ref="H9:H10"/>
    <mergeCell ref="I9:I10"/>
    <mergeCell ref="J9:J10"/>
    <mergeCell ref="K9:K10"/>
    <mergeCell ref="F11:F12"/>
    <mergeCell ref="G11:G12"/>
    <mergeCell ref="H11:H12"/>
    <mergeCell ref="I11:I12"/>
    <mergeCell ref="J11:J12"/>
    <mergeCell ref="K7:K8"/>
    <mergeCell ref="B2:D2"/>
    <mergeCell ref="F2:K2"/>
  </mergeCells>
  <conditionalFormatting sqref="I5">
    <cfRule type="iconSet" priority="28">
      <iconSet iconSet="3Arrows">
        <cfvo type="percent" val="0"/>
        <cfvo type="percent" val="0.1"/>
        <cfvo type="percent" val="1"/>
      </iconSet>
    </cfRule>
    <cfRule type="iconSet" priority="31">
      <iconSet showValue="0">
        <cfvo type="percent" val="0"/>
        <cfvo type="num" val="0.9"/>
        <cfvo type="num" val="0.95"/>
      </iconSet>
    </cfRule>
  </conditionalFormatting>
  <conditionalFormatting sqref="I5">
    <cfRule type="iconSet" priority="30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32">
      <iconSet>
        <cfvo type="percent" val="0"/>
        <cfvo type="percent" val="33"/>
        <cfvo type="percent" val="67"/>
      </iconSet>
    </cfRule>
    <cfRule type="iconSet" priority="33">
      <iconSet iconSet="4Arrows">
        <cfvo type="percent" val="0"/>
        <cfvo type="percent" val="25"/>
        <cfvo type="percent" val="50"/>
        <cfvo type="percentile" val="75"/>
      </iconSet>
    </cfRule>
    <cfRule type="iconSet" priority="34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35">
      <iconSet iconSet="3Arrows">
        <cfvo type="percent" val="0"/>
        <cfvo type="percent" val="33"/>
        <cfvo type="percent" val="67"/>
      </iconSet>
    </cfRule>
  </conditionalFormatting>
  <conditionalFormatting sqref="I5">
    <cfRule type="iconSet" priority="29">
      <iconSet iconSet="5Arrows">
        <cfvo type="percent" val="0"/>
        <cfvo type="num" val="-0.2"/>
        <cfvo type="num" val="-0.05"/>
        <cfvo type="num" val="0.05"/>
        <cfvo type="num" val="0.2"/>
      </iconSet>
    </cfRule>
  </conditionalFormatting>
  <conditionalFormatting sqref="K7 K5">
    <cfRule type="dataBar" priority="2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{E83BDF05-1A3B-E743-BA92-B88CD64CDC05}</x14:id>
        </ext>
      </extLst>
    </cfRule>
  </conditionalFormatting>
  <conditionalFormatting sqref="K9">
    <cfRule type="dataBar" priority="2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{76D24F7C-FD11-A54D-BD9A-FF25CD3D7287}</x14:id>
        </ext>
      </extLst>
    </cfRule>
  </conditionalFormatting>
  <conditionalFormatting sqref="K11">
    <cfRule type="dataBar" priority="2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{384CEFFD-732E-E44C-8027-7B4E9822E1F6}</x14:id>
        </ext>
      </extLst>
    </cfRule>
  </conditionalFormatting>
  <conditionalFormatting sqref="I7">
    <cfRule type="iconSet" priority="17">
      <iconSet iconSet="3Arrows">
        <cfvo type="percent" val="0"/>
        <cfvo type="num" val="-0.01"/>
        <cfvo type="num" val="0.01"/>
      </iconSet>
    </cfRule>
    <cfRule type="iconSet" priority="20">
      <iconSet showValue="0">
        <cfvo type="percent" val="0"/>
        <cfvo type="num" val="0.9"/>
        <cfvo type="num" val="0.95"/>
      </iconSet>
    </cfRule>
  </conditionalFormatting>
  <conditionalFormatting sqref="I7">
    <cfRule type="iconSet" priority="19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21">
      <iconSet>
        <cfvo type="percent" val="0"/>
        <cfvo type="percent" val="33"/>
        <cfvo type="percent" val="67"/>
      </iconSet>
    </cfRule>
    <cfRule type="iconSet" priority="22">
      <iconSet iconSet="4Arrows">
        <cfvo type="percent" val="0"/>
        <cfvo type="percent" val="25"/>
        <cfvo type="percent" val="50"/>
        <cfvo type="percentile" val="75"/>
      </iconSet>
    </cfRule>
    <cfRule type="iconSet" priority="23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24">
      <iconSet iconSet="3Arrows">
        <cfvo type="percent" val="0"/>
        <cfvo type="percent" val="33"/>
        <cfvo type="percent" val="67"/>
      </iconSet>
    </cfRule>
  </conditionalFormatting>
  <conditionalFormatting sqref="I7">
    <cfRule type="iconSet" priority="18">
      <iconSet iconSet="5Arrows">
        <cfvo type="percent" val="0"/>
        <cfvo type="num" val="-0.2"/>
        <cfvo type="num" val="-0.05"/>
        <cfvo type="num" val="0.05"/>
        <cfvo type="num" val="0.2"/>
      </iconSet>
    </cfRule>
  </conditionalFormatting>
  <conditionalFormatting sqref="I9">
    <cfRule type="iconSet" priority="9">
      <iconSet iconSet="3Arrows">
        <cfvo type="percent" val="0"/>
        <cfvo type="percent" val="0.1"/>
        <cfvo type="percent" val="1"/>
      </iconSet>
    </cfRule>
    <cfRule type="iconSet" priority="12">
      <iconSet showValue="0">
        <cfvo type="percent" val="0"/>
        <cfvo type="num" val="0.9"/>
        <cfvo type="num" val="0.95"/>
      </iconSet>
    </cfRule>
  </conditionalFormatting>
  <conditionalFormatting sqref="I9">
    <cfRule type="iconSet" priority="11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13">
      <iconSet>
        <cfvo type="percent" val="0"/>
        <cfvo type="percent" val="33"/>
        <cfvo type="percent" val="67"/>
      </iconSet>
    </cfRule>
    <cfRule type="iconSet" priority="14">
      <iconSet iconSet="4Arrows">
        <cfvo type="percent" val="0"/>
        <cfvo type="percent" val="25"/>
        <cfvo type="percent" val="50"/>
        <cfvo type="percentile" val="75"/>
      </iconSet>
    </cfRule>
    <cfRule type="iconSet" priority="15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16">
      <iconSet iconSet="3Arrows">
        <cfvo type="percent" val="0"/>
        <cfvo type="percent" val="33"/>
        <cfvo type="percent" val="67"/>
      </iconSet>
    </cfRule>
  </conditionalFormatting>
  <conditionalFormatting sqref="I9">
    <cfRule type="iconSet" priority="10">
      <iconSet iconSet="5Arrows">
        <cfvo type="percent" val="0"/>
        <cfvo type="num" val="-0.2"/>
        <cfvo type="num" val="-0.05"/>
        <cfvo type="num" val="0.05"/>
        <cfvo type="num" val="0.2"/>
      </iconSet>
    </cfRule>
  </conditionalFormatting>
  <conditionalFormatting sqref="I11">
    <cfRule type="iconSet" priority="1">
      <iconSet iconSet="3Arrows">
        <cfvo type="percent" val="0"/>
        <cfvo type="num" val="0"/>
        <cfvo type="num" val="0.1"/>
      </iconSet>
    </cfRule>
    <cfRule type="iconSet" priority="4">
      <iconSet showValue="0">
        <cfvo type="percent" val="0"/>
        <cfvo type="num" val="0.9"/>
        <cfvo type="num" val="0.95"/>
      </iconSet>
    </cfRule>
  </conditionalFormatting>
  <conditionalFormatting sqref="I11">
    <cfRule type="iconSet" priority="3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5">
      <iconSet>
        <cfvo type="percent" val="0"/>
        <cfvo type="percent" val="33"/>
        <cfvo type="percent" val="67"/>
      </iconSet>
    </cfRule>
    <cfRule type="iconSet" priority="6">
      <iconSet iconSet="4Arrows">
        <cfvo type="percent" val="0"/>
        <cfvo type="percent" val="25"/>
        <cfvo type="percent" val="50"/>
        <cfvo type="percentile" val="75"/>
      </iconSet>
    </cfRule>
    <cfRule type="iconSet" priority="7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8">
      <iconSet iconSet="3Arrows">
        <cfvo type="percent" val="0"/>
        <cfvo type="percent" val="33"/>
        <cfvo type="percent" val="67"/>
      </iconSet>
    </cfRule>
  </conditionalFormatting>
  <conditionalFormatting sqref="I11">
    <cfRule type="iconSet" priority="2">
      <iconSet iconSet="5Arrows">
        <cfvo type="percent" val="0"/>
        <cfvo type="num" val="-0.2"/>
        <cfvo type="num" val="-0.05"/>
        <cfvo type="num" val="0.05"/>
        <cfvo type="num" val="0.2"/>
      </iconSet>
    </cfRule>
  </conditionalFormatting>
  <pageMargins left="0.75" right="0.75" top="1" bottom="1" header="0.5" footer="0.5"/>
  <pageSetup scale="75" orientation="landscape" r:id="rId1"/>
  <headerFooter alignWithMargins="0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83BDF05-1A3B-E743-BA92-B88CD64CDC05}">
            <x14:dataBar minLength="0" maxLength="100" negativeBarColorSameAsPositive="1" axisPosition="none">
              <x14:cfvo type="min"/>
              <x14:cfvo type="max"/>
            </x14:dataBar>
          </x14:cfRule>
          <xm:sqref>K7 K5</xm:sqref>
        </x14:conditionalFormatting>
        <x14:conditionalFormatting xmlns:xm="http://schemas.microsoft.com/office/excel/2006/main">
          <x14:cfRule type="dataBar" id="{76D24F7C-FD11-A54D-BD9A-FF25CD3D7287}">
            <x14:dataBar minLength="0" maxLength="100" negativeBarColorSameAsPositive="1" axisPosition="none">
              <x14:cfvo type="min"/>
              <x14:cfvo type="max"/>
            </x14:dataBar>
          </x14:cfRule>
          <xm:sqref>K9</xm:sqref>
        </x14:conditionalFormatting>
        <x14:conditionalFormatting xmlns:xm="http://schemas.microsoft.com/office/excel/2006/main">
          <x14:cfRule type="dataBar" id="{384CEFFD-732E-E44C-8027-7B4E9822E1F6}">
            <x14:dataBar minLength="0" maxLength="100" negativeBarColorSameAsPositive="1" axisPosition="none">
              <x14:cfvo type="min"/>
              <x14:cfvo type="max"/>
            </x14:dataBar>
          </x14:cfRule>
          <xm:sqref>K11</xm:sqref>
        </x14:conditionalFormatting>
      </x14:conditionalFormattings>
    </ext>
    <ext xmlns:x14="http://schemas.microsoft.com/office/spreadsheetml/2009/9/main" uri="{05C60535-1F16-4fd2-B633-F4F36F0B64E0}">
      <x14:sparklineGroups xmlns:xm="http://schemas.microsoft.com/office/excel/2006/main">
        <x14:sparklineGroup displayEmptyCellsAs="gap" high="1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data!E55:E66</xm:f>
              <xm:sqref>K7</xm:sqref>
            </x14:sparkline>
          </x14:sparklines>
        </x14:sparklineGroup>
        <x14:sparklineGroup displayEmptyCellsAs="gap" high="1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data!E3:E14</xm:f>
              <xm:sqref>K5</xm:sqref>
            </x14:sparkline>
          </x14:sparklines>
        </x14:sparklineGroup>
        <x14:sparklineGroup displayEmptyCellsAs="gap" high="1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data!E106:E117</xm:f>
              <xm:sqref>K9</xm:sqref>
            </x14:sparkline>
          </x14:sparklines>
        </x14:sparklineGroup>
        <x14:sparklineGroup displayEmptyCellsAs="gap" high="1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data!E182:E193</xm:f>
              <xm:sqref>K11</xm:sqref>
            </x14:sparkline>
          </x14:sparklines>
        </x14:sparklineGroup>
      </x14:sparklineGroups>
    </ex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K37"/>
  <sheetViews>
    <sheetView zoomScale="70" zoomScaleNormal="70" zoomScalePageLayoutView="90" workbookViewId="0">
      <selection activeCell="B1" sqref="B1:K32"/>
    </sheetView>
  </sheetViews>
  <sheetFormatPr defaultColWidth="11.42578125" defaultRowHeight="12.75" x14ac:dyDescent="0.2"/>
  <cols>
    <col min="1" max="1" width="7.140625" customWidth="1"/>
    <col min="2" max="2" width="51.85546875" customWidth="1"/>
    <col min="3" max="3" width="20.7109375" customWidth="1"/>
    <col min="4" max="4" width="18.7109375" customWidth="1"/>
    <col min="5" max="5" width="3.42578125" customWidth="1"/>
    <col min="6" max="6" width="15.140625" customWidth="1"/>
    <col min="7" max="7" width="13" customWidth="1"/>
    <col min="8" max="8" width="1.7109375" customWidth="1"/>
    <col min="9" max="9" width="14.42578125" customWidth="1"/>
    <col min="10" max="10" width="15" customWidth="1"/>
    <col min="11" max="11" width="29.42578125" customWidth="1"/>
    <col min="12" max="12" width="19.85546875" customWidth="1"/>
    <col min="13" max="13" width="22.140625" customWidth="1"/>
  </cols>
  <sheetData>
    <row r="1" spans="1:11" ht="51.95" customHeight="1" thickBot="1" x14ac:dyDescent="0.25">
      <c r="A1" s="9"/>
      <c r="B1" s="188" t="s">
        <v>95</v>
      </c>
      <c r="C1" s="188"/>
      <c r="D1" s="188"/>
      <c r="E1" s="188"/>
      <c r="F1" s="188"/>
      <c r="G1" s="188"/>
      <c r="H1" s="188"/>
      <c r="I1" s="188"/>
      <c r="J1" s="188"/>
      <c r="K1" s="188"/>
    </row>
    <row r="2" spans="1:11" ht="24.95" customHeight="1" thickBot="1" x14ac:dyDescent="0.25">
      <c r="B2" s="205" t="str">
        <f>CONCATENATE("FY2016 Metrics ", Summary_data!S1)</f>
        <v>FY2016 Metrics (Oct 2015 to Sep 2016)</v>
      </c>
      <c r="C2" s="206"/>
      <c r="D2" s="207"/>
      <c r="F2" s="211" t="str">
        <f>CONCATENATE(data!$F$2, " Distribution and User Trends ", Summary_data!S1)</f>
        <v>GHRC Distribution and User Trends (Oct 2015 to Sep 2016)</v>
      </c>
      <c r="G2" s="212"/>
      <c r="H2" s="212"/>
      <c r="I2" s="213"/>
      <c r="J2" s="213"/>
      <c r="K2" s="214"/>
    </row>
    <row r="3" spans="1:11" ht="18" customHeight="1" thickBot="1" x14ac:dyDescent="0.25">
      <c r="B3" s="71" t="s">
        <v>74</v>
      </c>
      <c r="C3" s="71" t="s">
        <v>73</v>
      </c>
      <c r="D3" s="71" t="str">
        <f>Summary_data!$C$8</f>
        <v>GHRC</v>
      </c>
      <c r="F3" s="215" t="s">
        <v>74</v>
      </c>
      <c r="G3" s="72" t="s">
        <v>16</v>
      </c>
      <c r="H3" s="73"/>
      <c r="I3" s="74" t="s">
        <v>34</v>
      </c>
      <c r="J3" s="74" t="s">
        <v>41</v>
      </c>
      <c r="K3" s="75" t="s">
        <v>35</v>
      </c>
    </row>
    <row r="4" spans="1:11" ht="18" customHeight="1" thickBot="1" x14ac:dyDescent="0.25">
      <c r="B4" s="54" t="s">
        <v>0</v>
      </c>
      <c r="C4" s="98">
        <f>Summary_data!T13</f>
        <v>11140</v>
      </c>
      <c r="D4" s="100">
        <f>Summary_data!$D$8</f>
        <v>307</v>
      </c>
      <c r="F4" s="216"/>
      <c r="G4" s="76" t="s">
        <v>89</v>
      </c>
      <c r="H4" s="77"/>
      <c r="I4" s="78" t="s">
        <v>22</v>
      </c>
      <c r="J4" s="77" t="s">
        <v>36</v>
      </c>
      <c r="K4" s="79" t="s">
        <v>37</v>
      </c>
    </row>
    <row r="5" spans="1:11" ht="18" customHeight="1" thickBot="1" x14ac:dyDescent="0.25">
      <c r="B5" s="55" t="s">
        <v>1</v>
      </c>
      <c r="C5" s="98">
        <f>Summary_data!T14</f>
        <v>3210968</v>
      </c>
      <c r="D5" s="101">
        <f>Summary_data!G$8</f>
        <v>13910</v>
      </c>
      <c r="F5" s="219" t="s">
        <v>78</v>
      </c>
      <c r="G5" s="228">
        <f>data!$F$15</f>
        <v>3.9329890000000001</v>
      </c>
      <c r="H5" s="209"/>
      <c r="I5" s="208">
        <f>(data!$F$15-data!$F$17)/data!$F$17</f>
        <v>-0.38396165608737021</v>
      </c>
      <c r="J5" s="210">
        <f>data!$F$16</f>
        <v>0.32774908333333336</v>
      </c>
      <c r="K5" s="203"/>
    </row>
    <row r="6" spans="1:11" ht="18" customHeight="1" thickBot="1" x14ac:dyDescent="0.25">
      <c r="B6" s="55" t="s">
        <v>2</v>
      </c>
      <c r="C6" s="98">
        <f>Summary_data!T15</f>
        <v>2351536</v>
      </c>
      <c r="D6" s="101">
        <f>Summary_data!H$8</f>
        <v>17347</v>
      </c>
      <c r="F6" s="201"/>
      <c r="G6" s="229"/>
      <c r="H6" s="195"/>
      <c r="I6" s="197"/>
      <c r="J6" s="204"/>
      <c r="K6" s="189"/>
    </row>
    <row r="7" spans="1:11" ht="18" customHeight="1" thickBot="1" x14ac:dyDescent="0.25">
      <c r="B7" s="55" t="s">
        <v>3</v>
      </c>
      <c r="C7" s="99" t="str">
        <f>Summary_data!T16</f>
        <v>12,355.2 GB/day</v>
      </c>
      <c r="D7" s="99" t="str">
        <f>CONCATENATE(FIXED(1024*Summary_data!$K$8,1), " GB/day")</f>
        <v>6.7 GB/day</v>
      </c>
      <c r="F7" s="191" t="s">
        <v>72</v>
      </c>
      <c r="G7" s="230">
        <f>data!$F$67</f>
        <v>8.8443165346970822</v>
      </c>
      <c r="H7" s="195"/>
      <c r="I7" s="197">
        <f>(data!$F$67-data!$F$69)/data!$F$69</f>
        <v>-0.45171500495774647</v>
      </c>
      <c r="J7" s="204">
        <f>data!$F$68</f>
        <v>0.73702637789142356</v>
      </c>
      <c r="K7" s="189"/>
    </row>
    <row r="8" spans="1:11" ht="18" customHeight="1" thickBot="1" x14ac:dyDescent="0.25">
      <c r="B8" s="55" t="s">
        <v>4</v>
      </c>
      <c r="C8" s="98" t="str">
        <f>Summary_data!T17</f>
        <v>17,923.2 TB</v>
      </c>
      <c r="D8" s="102" t="str">
        <f>CONCATENATE(FIXED(Summary_data!$L$8,3), " TB")</f>
        <v>13.584 TB</v>
      </c>
      <c r="F8" s="201"/>
      <c r="G8" s="231"/>
      <c r="H8" s="195"/>
      <c r="I8" s="197"/>
      <c r="J8" s="204"/>
      <c r="K8" s="189"/>
    </row>
    <row r="9" spans="1:11" ht="18" customHeight="1" thickBot="1" x14ac:dyDescent="0.25">
      <c r="B9" s="55" t="s">
        <v>5</v>
      </c>
      <c r="C9" s="98" t="str">
        <f>Summary_data!T18</f>
        <v>1,512.9 M</v>
      </c>
      <c r="D9" s="101" t="str">
        <f>CONCATENATE(FIXED(Summary_data!$O$8,1), " M")</f>
        <v>3.9 M</v>
      </c>
      <c r="F9" s="191" t="s">
        <v>68</v>
      </c>
      <c r="G9" s="193">
        <f>data!$F$120</f>
        <v>3112</v>
      </c>
      <c r="H9" s="195"/>
      <c r="I9" s="197">
        <f>(data!$F$120-data!$F$121)/data!$F$121</f>
        <v>-0.24758220502901354</v>
      </c>
      <c r="J9" s="199">
        <f>data!$F$119</f>
        <v>307.75</v>
      </c>
      <c r="K9" s="189"/>
    </row>
    <row r="10" spans="1:11" ht="18" customHeight="1" thickBot="1" x14ac:dyDescent="0.25">
      <c r="B10" s="56" t="s">
        <v>6</v>
      </c>
      <c r="C10" s="99" t="str">
        <f>Summary_data!T19</f>
        <v>40,987.6 GB/day</v>
      </c>
      <c r="D10" s="101" t="str">
        <f>CONCATENATE(FIXED(1024*Summary_data!$Q$8,1), " GB/day")</f>
        <v>24.7 GB/day</v>
      </c>
      <c r="F10" s="201"/>
      <c r="G10" s="226"/>
      <c r="H10" s="195"/>
      <c r="I10" s="197"/>
      <c r="J10" s="199"/>
      <c r="K10" s="189"/>
    </row>
    <row r="11" spans="1:11" ht="18" customHeight="1" x14ac:dyDescent="0.2">
      <c r="E11" s="5"/>
      <c r="F11" s="191" t="s">
        <v>77</v>
      </c>
      <c r="G11" s="193">
        <f>data!$F$196</f>
        <v>12048</v>
      </c>
      <c r="H11" s="195"/>
      <c r="I11" s="197">
        <f>(data!$F$196-data!$F$197)/data!$F$197</f>
        <v>0.63584521384928716</v>
      </c>
      <c r="J11" s="199">
        <f>data!$F$195</f>
        <v>1445.5833333333333</v>
      </c>
      <c r="K11" s="189"/>
    </row>
    <row r="12" spans="1:11" ht="18" customHeight="1" thickBot="1" x14ac:dyDescent="0.25">
      <c r="F12" s="192"/>
      <c r="G12" s="227"/>
      <c r="H12" s="196"/>
      <c r="I12" s="198"/>
      <c r="J12" s="200"/>
      <c r="K12" s="190"/>
    </row>
    <row r="13" spans="1:11" ht="18" customHeight="1" x14ac:dyDescent="0.2"/>
    <row r="14" spans="1:11" ht="24.95" customHeight="1" x14ac:dyDescent="0.2"/>
    <row r="15" spans="1:11" ht="24.95" customHeight="1" x14ac:dyDescent="0.2"/>
    <row r="16" spans="1:11" ht="24.95" customHeight="1" x14ac:dyDescent="0.2"/>
    <row r="17" ht="24.95" customHeight="1" x14ac:dyDescent="0.2"/>
    <row r="18" ht="24.95" customHeight="1" x14ac:dyDescent="0.2"/>
    <row r="19" ht="24.95" customHeight="1" x14ac:dyDescent="0.2"/>
    <row r="20" ht="24.95" customHeight="1" x14ac:dyDescent="0.2"/>
    <row r="21" ht="24.95" customHeight="1" x14ac:dyDescent="0.2"/>
    <row r="22" ht="24.95" customHeight="1" x14ac:dyDescent="0.2"/>
    <row r="23" ht="24.95" customHeight="1" x14ac:dyDescent="0.2"/>
    <row r="24" ht="24.95" customHeight="1" x14ac:dyDescent="0.2"/>
    <row r="25" ht="24.95" customHeight="1" x14ac:dyDescent="0.2"/>
    <row r="26" ht="24.95" customHeight="1" x14ac:dyDescent="0.2"/>
    <row r="27" ht="24.95" customHeight="1" x14ac:dyDescent="0.2"/>
    <row r="28" ht="24.95" customHeight="1" x14ac:dyDescent="0.2"/>
    <row r="29" ht="24.95" customHeight="1" x14ac:dyDescent="0.2"/>
    <row r="30" ht="24.95" customHeight="1" x14ac:dyDescent="0.2"/>
    <row r="31" ht="24.95" customHeight="1" x14ac:dyDescent="0.2"/>
    <row r="32" ht="24.95" customHeight="1" x14ac:dyDescent="0.2"/>
    <row r="33" ht="30" customHeight="1" x14ac:dyDescent="0.2"/>
    <row r="34" ht="30" customHeight="1" x14ac:dyDescent="0.2"/>
    <row r="35" ht="30" customHeight="1" x14ac:dyDescent="0.2"/>
    <row r="36" ht="30" customHeight="1" x14ac:dyDescent="0.2"/>
    <row r="37" ht="30" customHeight="1" x14ac:dyDescent="0.2"/>
  </sheetData>
  <dataConsolidate/>
  <mergeCells count="28">
    <mergeCell ref="J5:J6"/>
    <mergeCell ref="K5:K6"/>
    <mergeCell ref="F7:F8"/>
    <mergeCell ref="G7:G8"/>
    <mergeCell ref="H7:H8"/>
    <mergeCell ref="I7:I8"/>
    <mergeCell ref="J7:J8"/>
    <mergeCell ref="F3:F4"/>
    <mergeCell ref="F5:F6"/>
    <mergeCell ref="G5:G6"/>
    <mergeCell ref="H5:H6"/>
    <mergeCell ref="I5:I6"/>
    <mergeCell ref="B1:K1"/>
    <mergeCell ref="K11:K12"/>
    <mergeCell ref="F9:F10"/>
    <mergeCell ref="G9:G10"/>
    <mergeCell ref="H9:H10"/>
    <mergeCell ref="I9:I10"/>
    <mergeCell ref="J9:J10"/>
    <mergeCell ref="K9:K10"/>
    <mergeCell ref="F11:F12"/>
    <mergeCell ref="G11:G12"/>
    <mergeCell ref="H11:H12"/>
    <mergeCell ref="I11:I12"/>
    <mergeCell ref="J11:J12"/>
    <mergeCell ref="K7:K8"/>
    <mergeCell ref="B2:D2"/>
    <mergeCell ref="F2:K2"/>
  </mergeCells>
  <conditionalFormatting sqref="I5">
    <cfRule type="iconSet" priority="28">
      <iconSet iconSet="3Arrows">
        <cfvo type="percent" val="0"/>
        <cfvo type="num" val="0"/>
        <cfvo type="num" val="0.1"/>
      </iconSet>
    </cfRule>
    <cfRule type="iconSet" priority="31">
      <iconSet showValue="0">
        <cfvo type="percent" val="0"/>
        <cfvo type="num" val="0.9"/>
        <cfvo type="num" val="0.95"/>
      </iconSet>
    </cfRule>
  </conditionalFormatting>
  <conditionalFormatting sqref="I5">
    <cfRule type="iconSet" priority="30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32">
      <iconSet>
        <cfvo type="percent" val="0"/>
        <cfvo type="percent" val="33"/>
        <cfvo type="percent" val="67"/>
      </iconSet>
    </cfRule>
    <cfRule type="iconSet" priority="33">
      <iconSet iconSet="4Arrows">
        <cfvo type="percent" val="0"/>
        <cfvo type="percent" val="25"/>
        <cfvo type="percent" val="50"/>
        <cfvo type="percentile" val="75"/>
      </iconSet>
    </cfRule>
    <cfRule type="iconSet" priority="34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35">
      <iconSet iconSet="3Arrows">
        <cfvo type="percent" val="0"/>
        <cfvo type="percent" val="33"/>
        <cfvo type="percent" val="67"/>
      </iconSet>
    </cfRule>
  </conditionalFormatting>
  <conditionalFormatting sqref="I5">
    <cfRule type="iconSet" priority="29">
      <iconSet iconSet="5Arrows">
        <cfvo type="percent" val="0"/>
        <cfvo type="num" val="-0.2"/>
        <cfvo type="num" val="-0.05"/>
        <cfvo type="num" val="0.05"/>
        <cfvo type="num" val="0.2"/>
      </iconSet>
    </cfRule>
  </conditionalFormatting>
  <conditionalFormatting sqref="K7 K5">
    <cfRule type="dataBar" priority="2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{EE263F00-493D-6640-AE19-10637E4EDB9C}</x14:id>
        </ext>
      </extLst>
    </cfRule>
  </conditionalFormatting>
  <conditionalFormatting sqref="K9">
    <cfRule type="dataBar" priority="2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{B84921B4-26E2-A24A-AD35-9678D73D2224}</x14:id>
        </ext>
      </extLst>
    </cfRule>
  </conditionalFormatting>
  <conditionalFormatting sqref="K11">
    <cfRule type="dataBar" priority="2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{6818E918-AB31-024A-8E63-3C73C1253B88}</x14:id>
        </ext>
      </extLst>
    </cfRule>
  </conditionalFormatting>
  <conditionalFormatting sqref="I7">
    <cfRule type="iconSet" priority="17">
      <iconSet iconSet="3Arrows">
        <cfvo type="percent" val="0"/>
        <cfvo type="num" val="-0.01"/>
        <cfvo type="num" val="0.01"/>
      </iconSet>
    </cfRule>
    <cfRule type="iconSet" priority="20">
      <iconSet showValue="0">
        <cfvo type="percent" val="0"/>
        <cfvo type="num" val="0.9"/>
        <cfvo type="num" val="0.95"/>
      </iconSet>
    </cfRule>
  </conditionalFormatting>
  <conditionalFormatting sqref="I7">
    <cfRule type="iconSet" priority="19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21">
      <iconSet>
        <cfvo type="percent" val="0"/>
        <cfvo type="percent" val="33"/>
        <cfvo type="percent" val="67"/>
      </iconSet>
    </cfRule>
    <cfRule type="iconSet" priority="22">
      <iconSet iconSet="4Arrows">
        <cfvo type="percent" val="0"/>
        <cfvo type="percent" val="25"/>
        <cfvo type="percent" val="50"/>
        <cfvo type="percentile" val="75"/>
      </iconSet>
    </cfRule>
    <cfRule type="iconSet" priority="23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24">
      <iconSet iconSet="3Arrows">
        <cfvo type="percent" val="0"/>
        <cfvo type="percent" val="33"/>
        <cfvo type="percent" val="67"/>
      </iconSet>
    </cfRule>
  </conditionalFormatting>
  <conditionalFormatting sqref="I7">
    <cfRule type="iconSet" priority="18">
      <iconSet iconSet="5Arrows">
        <cfvo type="percent" val="0"/>
        <cfvo type="num" val="-0.2"/>
        <cfvo type="num" val="-0.05"/>
        <cfvo type="num" val="0.05"/>
        <cfvo type="num" val="0.2"/>
      </iconSet>
    </cfRule>
  </conditionalFormatting>
  <conditionalFormatting sqref="I9">
    <cfRule type="iconSet" priority="9">
      <iconSet iconSet="3Arrows">
        <cfvo type="percent" val="0"/>
        <cfvo type="num" val="0"/>
        <cfvo type="num" val="0.1"/>
      </iconSet>
    </cfRule>
    <cfRule type="iconSet" priority="12">
      <iconSet showValue="0">
        <cfvo type="percent" val="0"/>
        <cfvo type="num" val="0.9"/>
        <cfvo type="num" val="0.95"/>
      </iconSet>
    </cfRule>
  </conditionalFormatting>
  <conditionalFormatting sqref="I9">
    <cfRule type="iconSet" priority="11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13">
      <iconSet>
        <cfvo type="percent" val="0"/>
        <cfvo type="percent" val="33"/>
        <cfvo type="percent" val="67"/>
      </iconSet>
    </cfRule>
    <cfRule type="iconSet" priority="14">
      <iconSet iconSet="4Arrows">
        <cfvo type="percent" val="0"/>
        <cfvo type="percent" val="25"/>
        <cfvo type="percent" val="50"/>
        <cfvo type="percentile" val="75"/>
      </iconSet>
    </cfRule>
    <cfRule type="iconSet" priority="15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16">
      <iconSet iconSet="3Arrows">
        <cfvo type="percent" val="0"/>
        <cfvo type="percent" val="33"/>
        <cfvo type="percent" val="67"/>
      </iconSet>
    </cfRule>
  </conditionalFormatting>
  <conditionalFormatting sqref="I9">
    <cfRule type="iconSet" priority="10">
      <iconSet iconSet="5Arrows">
        <cfvo type="percent" val="0"/>
        <cfvo type="num" val="-0.2"/>
        <cfvo type="num" val="-0.05"/>
        <cfvo type="num" val="0.05"/>
        <cfvo type="num" val="0.2"/>
      </iconSet>
    </cfRule>
  </conditionalFormatting>
  <conditionalFormatting sqref="I11">
    <cfRule type="iconSet" priority="1">
      <iconSet iconSet="3Arrows">
        <cfvo type="percent" val="0"/>
        <cfvo type="percent" val="0.1"/>
        <cfvo type="percent" val="1"/>
      </iconSet>
    </cfRule>
    <cfRule type="iconSet" priority="4">
      <iconSet showValue="0">
        <cfvo type="percent" val="0"/>
        <cfvo type="num" val="0.9"/>
        <cfvo type="num" val="0.95"/>
      </iconSet>
    </cfRule>
  </conditionalFormatting>
  <conditionalFormatting sqref="I11">
    <cfRule type="iconSet" priority="3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5">
      <iconSet>
        <cfvo type="percent" val="0"/>
        <cfvo type="percent" val="33"/>
        <cfvo type="percent" val="67"/>
      </iconSet>
    </cfRule>
    <cfRule type="iconSet" priority="6">
      <iconSet iconSet="4Arrows">
        <cfvo type="percent" val="0"/>
        <cfvo type="percent" val="25"/>
        <cfvo type="percent" val="50"/>
        <cfvo type="percentile" val="75"/>
      </iconSet>
    </cfRule>
    <cfRule type="iconSet" priority="7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8">
      <iconSet iconSet="3Arrows">
        <cfvo type="percent" val="0"/>
        <cfvo type="percent" val="33"/>
        <cfvo type="percent" val="67"/>
      </iconSet>
    </cfRule>
  </conditionalFormatting>
  <conditionalFormatting sqref="I11">
    <cfRule type="iconSet" priority="2">
      <iconSet iconSet="5Arrows">
        <cfvo type="percent" val="0"/>
        <cfvo type="num" val="-0.2"/>
        <cfvo type="num" val="-0.05"/>
        <cfvo type="num" val="0.05"/>
        <cfvo type="num" val="0.2"/>
      </iconSet>
    </cfRule>
  </conditionalFormatting>
  <pageMargins left="0.75" right="0.75" top="1" bottom="1" header="0.5" footer="0.5"/>
  <pageSetup scale="75" orientation="landscape" r:id="rId1"/>
  <headerFooter alignWithMargins="0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E263F00-493D-6640-AE19-10637E4EDB9C}">
            <x14:dataBar minLength="0" maxLength="100" negativeBarColorSameAsPositive="1" axisPosition="none">
              <x14:cfvo type="min"/>
              <x14:cfvo type="max"/>
            </x14:dataBar>
          </x14:cfRule>
          <xm:sqref>K7 K5</xm:sqref>
        </x14:conditionalFormatting>
        <x14:conditionalFormatting xmlns:xm="http://schemas.microsoft.com/office/excel/2006/main">
          <x14:cfRule type="dataBar" id="{B84921B4-26E2-A24A-AD35-9678D73D2224}">
            <x14:dataBar minLength="0" maxLength="100" negativeBarColorSameAsPositive="1" axisPosition="none">
              <x14:cfvo type="min"/>
              <x14:cfvo type="max"/>
            </x14:dataBar>
          </x14:cfRule>
          <xm:sqref>K9</xm:sqref>
        </x14:conditionalFormatting>
        <x14:conditionalFormatting xmlns:xm="http://schemas.microsoft.com/office/excel/2006/main">
          <x14:cfRule type="dataBar" id="{6818E918-AB31-024A-8E63-3C73C1253B88}">
            <x14:dataBar minLength="0" maxLength="100" negativeBarColorSameAsPositive="1" axisPosition="none">
              <x14:cfvo type="min"/>
              <x14:cfvo type="max"/>
            </x14:dataBar>
          </x14:cfRule>
          <xm:sqref>K11</xm:sqref>
        </x14:conditionalFormatting>
      </x14:conditionalFormattings>
    </ext>
    <ext xmlns:x14="http://schemas.microsoft.com/office/spreadsheetml/2009/9/main" uri="{05C60535-1F16-4fd2-B633-F4F36F0B64E0}">
      <x14:sparklineGroups xmlns:xm="http://schemas.microsoft.com/office/excel/2006/main">
        <x14:sparklineGroup displayEmptyCellsAs="gap" high="1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data!F182:F193</xm:f>
              <xm:sqref>K11</xm:sqref>
            </x14:sparkline>
          </x14:sparklines>
        </x14:sparklineGroup>
        <x14:sparklineGroup displayEmptyCellsAs="gap" high="1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data!F106:F117</xm:f>
              <xm:sqref>K9</xm:sqref>
            </x14:sparkline>
          </x14:sparklines>
        </x14:sparklineGroup>
        <x14:sparklineGroup displayEmptyCellsAs="gap" high="1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data!F3:F14</xm:f>
              <xm:sqref>K5</xm:sqref>
            </x14:sparkline>
          </x14:sparklines>
        </x14:sparklineGroup>
        <x14:sparklineGroup displayEmptyCellsAs="gap" high="1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data!F55:F66</xm:f>
              <xm:sqref>K7</xm:sqref>
            </x14:sparkline>
          </x14:sparklines>
        </x14:sparklineGroup>
      </x14:sparklineGroups>
    </ex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K37"/>
  <sheetViews>
    <sheetView zoomScale="70" zoomScaleNormal="70" zoomScalePageLayoutView="90" workbookViewId="0">
      <selection activeCell="B1" sqref="B1:K32"/>
    </sheetView>
  </sheetViews>
  <sheetFormatPr defaultColWidth="11.42578125" defaultRowHeight="12.75" x14ac:dyDescent="0.2"/>
  <cols>
    <col min="1" max="1" width="7.140625" customWidth="1"/>
    <col min="2" max="2" width="51.85546875" customWidth="1"/>
    <col min="3" max="3" width="20.7109375" customWidth="1"/>
    <col min="4" max="4" width="18.7109375" customWidth="1"/>
    <col min="5" max="5" width="3.42578125" customWidth="1"/>
    <col min="6" max="6" width="15.140625" customWidth="1"/>
    <col min="7" max="7" width="13" customWidth="1"/>
    <col min="8" max="8" width="1.7109375" customWidth="1"/>
    <col min="9" max="9" width="14.42578125" customWidth="1"/>
    <col min="10" max="10" width="15" customWidth="1"/>
    <col min="11" max="11" width="29.42578125" customWidth="1"/>
    <col min="12" max="12" width="19.85546875" customWidth="1"/>
    <col min="13" max="13" width="22.140625" customWidth="1"/>
  </cols>
  <sheetData>
    <row r="1" spans="1:11" ht="51.95" customHeight="1" thickBot="1" x14ac:dyDescent="0.25">
      <c r="A1" s="9"/>
      <c r="B1" s="188" t="s">
        <v>96</v>
      </c>
      <c r="C1" s="188"/>
      <c r="D1" s="188"/>
      <c r="E1" s="188"/>
      <c r="F1" s="188"/>
      <c r="G1" s="188"/>
      <c r="H1" s="188"/>
      <c r="I1" s="188"/>
      <c r="J1" s="188"/>
      <c r="K1" s="188"/>
    </row>
    <row r="2" spans="1:11" ht="24.95" customHeight="1" thickBot="1" x14ac:dyDescent="0.25">
      <c r="B2" s="205" t="str">
        <f>CONCATENATE("FY2016 Metrics ", Summary_data!S1)</f>
        <v>FY2016 Metrics (Oct 2015 to Sep 2016)</v>
      </c>
      <c r="C2" s="206"/>
      <c r="D2" s="207"/>
      <c r="F2" s="211" t="str">
        <f>CONCATENATE(data!$G$2, " Distribution and User Trends ", Summary_data!S1)</f>
        <v>LP DAAC Distribution and User Trends (Oct 2015 to Sep 2016)</v>
      </c>
      <c r="G2" s="212"/>
      <c r="H2" s="212"/>
      <c r="I2" s="213"/>
      <c r="J2" s="213"/>
      <c r="K2" s="214"/>
    </row>
    <row r="3" spans="1:11" ht="18" customHeight="1" thickBot="1" x14ac:dyDescent="0.25">
      <c r="B3" s="71" t="s">
        <v>74</v>
      </c>
      <c r="C3" s="71" t="s">
        <v>73</v>
      </c>
      <c r="D3" s="71" t="str">
        <f>Summary_data!$C$9</f>
        <v>LP DAAC</v>
      </c>
      <c r="F3" s="215" t="s">
        <v>74</v>
      </c>
      <c r="G3" s="72" t="s">
        <v>16</v>
      </c>
      <c r="H3" s="73"/>
      <c r="I3" s="74" t="s">
        <v>34</v>
      </c>
      <c r="J3" s="74" t="s">
        <v>41</v>
      </c>
      <c r="K3" s="75" t="s">
        <v>35</v>
      </c>
    </row>
    <row r="4" spans="1:11" ht="18" customHeight="1" thickBot="1" x14ac:dyDescent="0.25">
      <c r="B4" s="54" t="s">
        <v>0</v>
      </c>
      <c r="C4" s="98">
        <f>Summary_data!T13</f>
        <v>11140</v>
      </c>
      <c r="D4" s="100">
        <f>Summary_data!$D$9</f>
        <v>497</v>
      </c>
      <c r="F4" s="216"/>
      <c r="G4" s="76" t="s">
        <v>89</v>
      </c>
      <c r="H4" s="77"/>
      <c r="I4" s="78" t="s">
        <v>22</v>
      </c>
      <c r="J4" s="77" t="s">
        <v>36</v>
      </c>
      <c r="K4" s="79" t="s">
        <v>37</v>
      </c>
    </row>
    <row r="5" spans="1:11" ht="18" customHeight="1" thickBot="1" x14ac:dyDescent="0.25">
      <c r="B5" s="55" t="s">
        <v>1</v>
      </c>
      <c r="C5" s="98">
        <f>Summary_data!T14</f>
        <v>3210968</v>
      </c>
      <c r="D5" s="101">
        <f>Summary_data!G$9</f>
        <v>388973</v>
      </c>
      <c r="F5" s="219" t="s">
        <v>78</v>
      </c>
      <c r="G5" s="228">
        <f>data!$G$15</f>
        <v>174.59097600000001</v>
      </c>
      <c r="H5" s="209"/>
      <c r="I5" s="208">
        <f>(data!$G$15-data!$G$17)/data!$G$17</f>
        <v>6.9296768010249435E-2</v>
      </c>
      <c r="J5" s="210">
        <f>data!$G$16</f>
        <v>14.549248</v>
      </c>
      <c r="K5" s="203"/>
    </row>
    <row r="6" spans="1:11" ht="18" customHeight="1" thickBot="1" x14ac:dyDescent="0.25">
      <c r="B6" s="55" t="s">
        <v>2</v>
      </c>
      <c r="C6" s="98">
        <f>Summary_data!T15</f>
        <v>2351536</v>
      </c>
      <c r="D6" s="101">
        <f>Summary_data!H$9</f>
        <v>189171</v>
      </c>
      <c r="F6" s="201"/>
      <c r="G6" s="229"/>
      <c r="H6" s="195"/>
      <c r="I6" s="197"/>
      <c r="J6" s="204"/>
      <c r="K6" s="189"/>
    </row>
    <row r="7" spans="1:11" ht="18" customHeight="1" thickBot="1" x14ac:dyDescent="0.25">
      <c r="B7" s="55" t="s">
        <v>3</v>
      </c>
      <c r="C7" s="99" t="str">
        <f>Summary_data!T16</f>
        <v>12,355.2 GB/day</v>
      </c>
      <c r="D7" s="99" t="str">
        <f>CONCATENATE(FIXED(1024*Summary_data!$K$9,1), " GB/day")</f>
        <v>2,355.6 GB/day</v>
      </c>
      <c r="F7" s="191" t="s">
        <v>72</v>
      </c>
      <c r="G7" s="230">
        <f>data!$G$67</f>
        <v>2501.0258962979528</v>
      </c>
      <c r="H7" s="195"/>
      <c r="I7" s="197">
        <f>(data!$G$67-data!$G$69)/data!$G$69</f>
        <v>0.38850682645211193</v>
      </c>
      <c r="J7" s="204">
        <f>data!$G$68</f>
        <v>208.41882469149607</v>
      </c>
      <c r="K7" s="189"/>
    </row>
    <row r="8" spans="1:11" ht="18" customHeight="1" thickBot="1" x14ac:dyDescent="0.25">
      <c r="B8" s="55" t="s">
        <v>4</v>
      </c>
      <c r="C8" s="98" t="str">
        <f>Summary_data!T17</f>
        <v>17,923.2 TB</v>
      </c>
      <c r="D8" s="102" t="str">
        <f>CONCATENATE(FIXED(Summary_data!$L$9,1), " TB")</f>
        <v>2,933.3 TB</v>
      </c>
      <c r="F8" s="201"/>
      <c r="G8" s="231"/>
      <c r="H8" s="195"/>
      <c r="I8" s="197"/>
      <c r="J8" s="204"/>
      <c r="K8" s="189"/>
    </row>
    <row r="9" spans="1:11" ht="18" customHeight="1" thickBot="1" x14ac:dyDescent="0.25">
      <c r="B9" s="55" t="s">
        <v>5</v>
      </c>
      <c r="C9" s="98" t="str">
        <f>Summary_data!T18</f>
        <v>1,512.9 M</v>
      </c>
      <c r="D9" s="101" t="str">
        <f>CONCATENATE(FIXED(Summary_data!$O$9,1), " M")</f>
        <v>174.6 M</v>
      </c>
      <c r="F9" s="191" t="s">
        <v>68</v>
      </c>
      <c r="G9" s="193">
        <f>data!$G$120</f>
        <v>281142</v>
      </c>
      <c r="H9" s="195"/>
      <c r="I9" s="197">
        <f>(data!$G$120-data!$G$121)/data!$G$121</f>
        <v>0.61510886425001432</v>
      </c>
      <c r="J9" s="199">
        <f>data!$G$119</f>
        <v>29257</v>
      </c>
      <c r="K9" s="189"/>
    </row>
    <row r="10" spans="1:11" ht="18" customHeight="1" thickBot="1" x14ac:dyDescent="0.25">
      <c r="B10" s="56" t="s">
        <v>6</v>
      </c>
      <c r="C10" s="99" t="str">
        <f>Summary_data!T19</f>
        <v>40,987.6 GB/day</v>
      </c>
      <c r="D10" s="101" t="str">
        <f>CONCATENATE(FIXED(1024*Summary_data!$Q$9,1), " GB/day")</f>
        <v>6,997.4 GB/day</v>
      </c>
      <c r="F10" s="201"/>
      <c r="G10" s="226"/>
      <c r="H10" s="195"/>
      <c r="I10" s="197"/>
      <c r="J10" s="199"/>
      <c r="K10" s="189"/>
    </row>
    <row r="11" spans="1:11" ht="18" customHeight="1" x14ac:dyDescent="0.2">
      <c r="E11" s="5"/>
      <c r="F11" s="191" t="s">
        <v>77</v>
      </c>
      <c r="G11" s="193">
        <f>data!$G$196</f>
        <v>143345</v>
      </c>
      <c r="H11" s="195"/>
      <c r="I11" s="197">
        <f>(data!$G$196-data!$G$197)/data!$G$197</f>
        <v>0.38377256491939377</v>
      </c>
      <c r="J11" s="199">
        <f>data!$G$195</f>
        <v>15764.25</v>
      </c>
      <c r="K11" s="189"/>
    </row>
    <row r="12" spans="1:11" ht="18" customHeight="1" thickBot="1" x14ac:dyDescent="0.25">
      <c r="F12" s="192"/>
      <c r="G12" s="227"/>
      <c r="H12" s="196"/>
      <c r="I12" s="198"/>
      <c r="J12" s="200"/>
      <c r="K12" s="190"/>
    </row>
    <row r="13" spans="1:11" ht="18" customHeight="1" x14ac:dyDescent="0.2"/>
    <row r="14" spans="1:11" ht="24.95" customHeight="1" x14ac:dyDescent="0.2"/>
    <row r="15" spans="1:11" ht="24.95" customHeight="1" x14ac:dyDescent="0.2"/>
    <row r="16" spans="1:11" ht="24.95" customHeight="1" x14ac:dyDescent="0.2"/>
    <row r="17" ht="24.95" customHeight="1" x14ac:dyDescent="0.2"/>
    <row r="18" ht="24.95" customHeight="1" x14ac:dyDescent="0.2"/>
    <row r="19" ht="24.95" customHeight="1" x14ac:dyDescent="0.2"/>
    <row r="20" ht="24.95" customHeight="1" x14ac:dyDescent="0.2"/>
    <row r="21" ht="24.95" customHeight="1" x14ac:dyDescent="0.2"/>
    <row r="22" ht="24.95" customHeight="1" x14ac:dyDescent="0.2"/>
    <row r="23" ht="24.95" customHeight="1" x14ac:dyDescent="0.2"/>
    <row r="24" ht="24.95" customHeight="1" x14ac:dyDescent="0.2"/>
    <row r="25" ht="24.95" customHeight="1" x14ac:dyDescent="0.2"/>
    <row r="26" ht="24.95" customHeight="1" x14ac:dyDescent="0.2"/>
    <row r="27" ht="24.95" customHeight="1" x14ac:dyDescent="0.2"/>
    <row r="28" ht="24.95" customHeight="1" x14ac:dyDescent="0.2"/>
    <row r="29" ht="24.95" customHeight="1" x14ac:dyDescent="0.2"/>
    <row r="30" ht="24.95" customHeight="1" x14ac:dyDescent="0.2"/>
    <row r="31" ht="24.95" customHeight="1" x14ac:dyDescent="0.2"/>
    <row r="32" ht="24.95" customHeight="1" x14ac:dyDescent="0.2"/>
    <row r="33" ht="30" customHeight="1" x14ac:dyDescent="0.2"/>
    <row r="34" ht="30" customHeight="1" x14ac:dyDescent="0.2"/>
    <row r="35" ht="30" customHeight="1" x14ac:dyDescent="0.2"/>
    <row r="36" ht="30" customHeight="1" x14ac:dyDescent="0.2"/>
    <row r="37" ht="30" customHeight="1" x14ac:dyDescent="0.2"/>
  </sheetData>
  <dataConsolidate/>
  <mergeCells count="28">
    <mergeCell ref="J5:J6"/>
    <mergeCell ref="K5:K6"/>
    <mergeCell ref="F7:F8"/>
    <mergeCell ref="G7:G8"/>
    <mergeCell ref="H7:H8"/>
    <mergeCell ref="I7:I8"/>
    <mergeCell ref="J7:J8"/>
    <mergeCell ref="F3:F4"/>
    <mergeCell ref="F5:F6"/>
    <mergeCell ref="G5:G6"/>
    <mergeCell ref="H5:H6"/>
    <mergeCell ref="I5:I6"/>
    <mergeCell ref="B1:K1"/>
    <mergeCell ref="K11:K12"/>
    <mergeCell ref="F9:F10"/>
    <mergeCell ref="G9:G10"/>
    <mergeCell ref="H9:H10"/>
    <mergeCell ref="I9:I10"/>
    <mergeCell ref="J9:J10"/>
    <mergeCell ref="K9:K10"/>
    <mergeCell ref="F11:F12"/>
    <mergeCell ref="G11:G12"/>
    <mergeCell ref="H11:H12"/>
    <mergeCell ref="I11:I12"/>
    <mergeCell ref="J11:J12"/>
    <mergeCell ref="K7:K8"/>
    <mergeCell ref="B2:D2"/>
    <mergeCell ref="F2:K2"/>
  </mergeCells>
  <conditionalFormatting sqref="I5">
    <cfRule type="iconSet" priority="28">
      <iconSet iconSet="3Arrows">
        <cfvo type="percent" val="0"/>
        <cfvo type="percent" val="0.1"/>
        <cfvo type="percent" val="1"/>
      </iconSet>
    </cfRule>
    <cfRule type="iconSet" priority="31">
      <iconSet showValue="0">
        <cfvo type="percent" val="0"/>
        <cfvo type="num" val="0.9"/>
        <cfvo type="num" val="0.95"/>
      </iconSet>
    </cfRule>
  </conditionalFormatting>
  <conditionalFormatting sqref="I5">
    <cfRule type="iconSet" priority="30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32">
      <iconSet>
        <cfvo type="percent" val="0"/>
        <cfvo type="percent" val="33"/>
        <cfvo type="percent" val="67"/>
      </iconSet>
    </cfRule>
    <cfRule type="iconSet" priority="33">
      <iconSet iconSet="4Arrows">
        <cfvo type="percent" val="0"/>
        <cfvo type="percent" val="25"/>
        <cfvo type="percent" val="50"/>
        <cfvo type="percentile" val="75"/>
      </iconSet>
    </cfRule>
    <cfRule type="iconSet" priority="34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35">
      <iconSet iconSet="3Arrows">
        <cfvo type="percent" val="0"/>
        <cfvo type="percent" val="33"/>
        <cfvo type="percent" val="67"/>
      </iconSet>
    </cfRule>
  </conditionalFormatting>
  <conditionalFormatting sqref="I5">
    <cfRule type="iconSet" priority="29">
      <iconSet iconSet="5Arrows">
        <cfvo type="percent" val="0"/>
        <cfvo type="num" val="-0.2"/>
        <cfvo type="num" val="-0.05"/>
        <cfvo type="num" val="0.05"/>
        <cfvo type="num" val="0.2"/>
      </iconSet>
    </cfRule>
  </conditionalFormatting>
  <conditionalFormatting sqref="K7 K5">
    <cfRule type="dataBar" priority="2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{AD49E36B-5FA8-9B45-AA7C-6BA9DFC101E2}</x14:id>
        </ext>
      </extLst>
    </cfRule>
  </conditionalFormatting>
  <conditionalFormatting sqref="K9">
    <cfRule type="dataBar" priority="2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{C72F0C2A-E2B9-0946-B434-10B16389ADAE}</x14:id>
        </ext>
      </extLst>
    </cfRule>
  </conditionalFormatting>
  <conditionalFormatting sqref="K11">
    <cfRule type="dataBar" priority="2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{B6491E99-2FBF-0B43-9D09-3914A1453AD9}</x14:id>
        </ext>
      </extLst>
    </cfRule>
  </conditionalFormatting>
  <conditionalFormatting sqref="I7">
    <cfRule type="iconSet" priority="17">
      <iconSet iconSet="3Arrows">
        <cfvo type="percent" val="0"/>
        <cfvo type="num" val="-0.01"/>
        <cfvo type="num" val="0.01"/>
      </iconSet>
    </cfRule>
    <cfRule type="iconSet" priority="20">
      <iconSet showValue="0">
        <cfvo type="percent" val="0"/>
        <cfvo type="num" val="0.9"/>
        <cfvo type="num" val="0.95"/>
      </iconSet>
    </cfRule>
  </conditionalFormatting>
  <conditionalFormatting sqref="I7">
    <cfRule type="iconSet" priority="19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21">
      <iconSet>
        <cfvo type="percent" val="0"/>
        <cfvo type="percent" val="33"/>
        <cfvo type="percent" val="67"/>
      </iconSet>
    </cfRule>
    <cfRule type="iconSet" priority="22">
      <iconSet iconSet="4Arrows">
        <cfvo type="percent" val="0"/>
        <cfvo type="percent" val="25"/>
        <cfvo type="percent" val="50"/>
        <cfvo type="percentile" val="75"/>
      </iconSet>
    </cfRule>
    <cfRule type="iconSet" priority="23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24">
      <iconSet iconSet="3Arrows">
        <cfvo type="percent" val="0"/>
        <cfvo type="percent" val="33"/>
        <cfvo type="percent" val="67"/>
      </iconSet>
    </cfRule>
  </conditionalFormatting>
  <conditionalFormatting sqref="I7">
    <cfRule type="iconSet" priority="18">
      <iconSet iconSet="5Arrows">
        <cfvo type="percent" val="0"/>
        <cfvo type="num" val="-0.2"/>
        <cfvo type="num" val="-0.05"/>
        <cfvo type="num" val="0.05"/>
        <cfvo type="num" val="0.2"/>
      </iconSet>
    </cfRule>
  </conditionalFormatting>
  <conditionalFormatting sqref="I9">
    <cfRule type="iconSet" priority="9">
      <iconSet iconSet="3Arrows">
        <cfvo type="percent" val="0"/>
        <cfvo type="percent" val="0.1"/>
        <cfvo type="percent" val="1"/>
      </iconSet>
    </cfRule>
    <cfRule type="iconSet" priority="12">
      <iconSet showValue="0">
        <cfvo type="percent" val="0"/>
        <cfvo type="num" val="0.9"/>
        <cfvo type="num" val="0.95"/>
      </iconSet>
    </cfRule>
  </conditionalFormatting>
  <conditionalFormatting sqref="I9">
    <cfRule type="iconSet" priority="11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13">
      <iconSet>
        <cfvo type="percent" val="0"/>
        <cfvo type="percent" val="33"/>
        <cfvo type="percent" val="67"/>
      </iconSet>
    </cfRule>
    <cfRule type="iconSet" priority="14">
      <iconSet iconSet="4Arrows">
        <cfvo type="percent" val="0"/>
        <cfvo type="percent" val="25"/>
        <cfvo type="percent" val="50"/>
        <cfvo type="percentile" val="75"/>
      </iconSet>
    </cfRule>
    <cfRule type="iconSet" priority="15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16">
      <iconSet iconSet="3Arrows">
        <cfvo type="percent" val="0"/>
        <cfvo type="percent" val="33"/>
        <cfvo type="percent" val="67"/>
      </iconSet>
    </cfRule>
  </conditionalFormatting>
  <conditionalFormatting sqref="I9">
    <cfRule type="iconSet" priority="10">
      <iconSet iconSet="5Arrows">
        <cfvo type="percent" val="0"/>
        <cfvo type="num" val="-0.2"/>
        <cfvo type="num" val="-0.05"/>
        <cfvo type="num" val="0.05"/>
        <cfvo type="num" val="0.2"/>
      </iconSet>
    </cfRule>
  </conditionalFormatting>
  <conditionalFormatting sqref="I11">
    <cfRule type="iconSet" priority="1">
      <iconSet iconSet="3Arrows">
        <cfvo type="percent" val="0"/>
        <cfvo type="percent" val="0.1"/>
        <cfvo type="percent" val="1"/>
      </iconSet>
    </cfRule>
    <cfRule type="iconSet" priority="4">
      <iconSet showValue="0">
        <cfvo type="percent" val="0"/>
        <cfvo type="num" val="0.9"/>
        <cfvo type="num" val="0.95"/>
      </iconSet>
    </cfRule>
  </conditionalFormatting>
  <conditionalFormatting sqref="I11">
    <cfRule type="iconSet" priority="3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5">
      <iconSet>
        <cfvo type="percent" val="0"/>
        <cfvo type="percent" val="33"/>
        <cfvo type="percent" val="67"/>
      </iconSet>
    </cfRule>
    <cfRule type="iconSet" priority="6">
      <iconSet iconSet="4Arrows">
        <cfvo type="percent" val="0"/>
        <cfvo type="percent" val="25"/>
        <cfvo type="percent" val="50"/>
        <cfvo type="percentile" val="75"/>
      </iconSet>
    </cfRule>
    <cfRule type="iconSet" priority="7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8">
      <iconSet iconSet="3Arrows">
        <cfvo type="percent" val="0"/>
        <cfvo type="percent" val="33"/>
        <cfvo type="percent" val="67"/>
      </iconSet>
    </cfRule>
  </conditionalFormatting>
  <conditionalFormatting sqref="I11">
    <cfRule type="iconSet" priority="2">
      <iconSet iconSet="5Arrows">
        <cfvo type="percent" val="0"/>
        <cfvo type="num" val="-0.2"/>
        <cfvo type="num" val="-0.05"/>
        <cfvo type="num" val="0.05"/>
        <cfvo type="num" val="0.2"/>
      </iconSet>
    </cfRule>
  </conditionalFormatting>
  <pageMargins left="0.75" right="0.75" top="1" bottom="1" header="0.5" footer="0.5"/>
  <pageSetup scale="75" orientation="landscape" r:id="rId1"/>
  <headerFooter alignWithMargins="0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AD49E36B-5FA8-9B45-AA7C-6BA9DFC101E2}">
            <x14:dataBar minLength="0" maxLength="100" negativeBarColorSameAsPositive="1" axisPosition="none">
              <x14:cfvo type="min"/>
              <x14:cfvo type="max"/>
            </x14:dataBar>
          </x14:cfRule>
          <xm:sqref>K7 K5</xm:sqref>
        </x14:conditionalFormatting>
        <x14:conditionalFormatting xmlns:xm="http://schemas.microsoft.com/office/excel/2006/main">
          <x14:cfRule type="dataBar" id="{C72F0C2A-E2B9-0946-B434-10B16389ADAE}">
            <x14:dataBar minLength="0" maxLength="100" negativeBarColorSameAsPositive="1" axisPosition="none">
              <x14:cfvo type="min"/>
              <x14:cfvo type="max"/>
            </x14:dataBar>
          </x14:cfRule>
          <xm:sqref>K9</xm:sqref>
        </x14:conditionalFormatting>
        <x14:conditionalFormatting xmlns:xm="http://schemas.microsoft.com/office/excel/2006/main">
          <x14:cfRule type="dataBar" id="{B6491E99-2FBF-0B43-9D09-3914A1453AD9}">
            <x14:dataBar minLength="0" maxLength="100" negativeBarColorSameAsPositive="1" axisPosition="none">
              <x14:cfvo type="min"/>
              <x14:cfvo type="max"/>
            </x14:dataBar>
          </x14:cfRule>
          <xm:sqref>K11</xm:sqref>
        </x14:conditionalFormatting>
      </x14:conditionalFormattings>
    </ext>
    <ext xmlns:x14="http://schemas.microsoft.com/office/spreadsheetml/2009/9/main" uri="{05C60535-1F16-4fd2-B633-F4F36F0B64E0}">
      <x14:sparklineGroups xmlns:xm="http://schemas.microsoft.com/office/excel/2006/main">
        <x14:sparklineGroup displayEmptyCellsAs="gap" high="1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data!G55:G66</xm:f>
              <xm:sqref>K7</xm:sqref>
            </x14:sparkline>
          </x14:sparklines>
        </x14:sparklineGroup>
        <x14:sparklineGroup displayEmptyCellsAs="gap" high="1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data!G3:G14</xm:f>
              <xm:sqref>K5</xm:sqref>
            </x14:sparkline>
          </x14:sparklines>
        </x14:sparklineGroup>
        <x14:sparklineGroup displayEmptyCellsAs="gap" high="1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data!G106:G117</xm:f>
              <xm:sqref>K9</xm:sqref>
            </x14:sparkline>
          </x14:sparklines>
        </x14:sparklineGroup>
        <x14:sparklineGroup displayEmptyCellsAs="gap" high="1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data!G182:G193</xm:f>
              <xm:sqref>K11</xm:sqref>
            </x14:sparkline>
          </x14:sparklines>
        </x14:sparklineGroup>
      </x14:sparklineGroups>
    </ex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K37"/>
  <sheetViews>
    <sheetView zoomScale="70" zoomScaleNormal="70" zoomScalePageLayoutView="90" workbookViewId="0">
      <selection activeCell="B1" sqref="B1:K32"/>
    </sheetView>
  </sheetViews>
  <sheetFormatPr defaultColWidth="11.42578125" defaultRowHeight="12.75" x14ac:dyDescent="0.2"/>
  <cols>
    <col min="1" max="1" width="7.140625" customWidth="1"/>
    <col min="2" max="2" width="51.85546875" customWidth="1"/>
    <col min="3" max="3" width="20.7109375" customWidth="1"/>
    <col min="4" max="4" width="18.85546875" customWidth="1"/>
    <col min="5" max="5" width="3.42578125" customWidth="1"/>
    <col min="6" max="6" width="15.140625" customWidth="1"/>
    <col min="7" max="7" width="13" customWidth="1"/>
    <col min="8" max="8" width="1.7109375" customWidth="1"/>
    <col min="9" max="9" width="14.42578125" customWidth="1"/>
    <col min="10" max="10" width="15" customWidth="1"/>
    <col min="11" max="11" width="29.42578125" customWidth="1"/>
    <col min="12" max="12" width="19.85546875" customWidth="1"/>
    <col min="13" max="13" width="22.140625" customWidth="1"/>
  </cols>
  <sheetData>
    <row r="1" spans="1:11" ht="51.95" customHeight="1" thickBot="1" x14ac:dyDescent="0.25">
      <c r="A1" s="9"/>
      <c r="B1" s="188" t="s">
        <v>97</v>
      </c>
      <c r="C1" s="188"/>
      <c r="D1" s="188"/>
      <c r="E1" s="188"/>
      <c r="F1" s="188"/>
      <c r="G1" s="188"/>
      <c r="H1" s="188"/>
      <c r="I1" s="188"/>
      <c r="J1" s="188"/>
      <c r="K1" s="188"/>
    </row>
    <row r="2" spans="1:11" ht="24.95" customHeight="1" thickBot="1" x14ac:dyDescent="0.25">
      <c r="B2" s="205" t="str">
        <f>CONCATENATE("FY2016 Metrics ", Summary_data!S1)</f>
        <v>FY2016 Metrics (Oct 2015 to Sep 2016)</v>
      </c>
      <c r="C2" s="206"/>
      <c r="D2" s="207"/>
      <c r="F2" s="211" t="str">
        <f>CONCATENATE(data!$H$2, " Distribution and User Trends ", Summary_data!S1)</f>
        <v>MODAPS Distribution and User Trends (Oct 2015 to Sep 2016)</v>
      </c>
      <c r="G2" s="212"/>
      <c r="H2" s="212"/>
      <c r="I2" s="213"/>
      <c r="J2" s="213"/>
      <c r="K2" s="214"/>
    </row>
    <row r="3" spans="1:11" ht="18" customHeight="1" thickBot="1" x14ac:dyDescent="0.25">
      <c r="B3" s="71" t="s">
        <v>74</v>
      </c>
      <c r="C3" s="71" t="s">
        <v>73</v>
      </c>
      <c r="D3" s="71" t="str">
        <f>Summary_data!$C$10</f>
        <v>MODAPS</v>
      </c>
      <c r="F3" s="215" t="s">
        <v>74</v>
      </c>
      <c r="G3" s="72" t="s">
        <v>16</v>
      </c>
      <c r="H3" s="73"/>
      <c r="I3" s="74" t="s">
        <v>34</v>
      </c>
      <c r="J3" s="74" t="s">
        <v>41</v>
      </c>
      <c r="K3" s="75" t="s">
        <v>35</v>
      </c>
    </row>
    <row r="4" spans="1:11" ht="18" customHeight="1" thickBot="1" x14ac:dyDescent="0.25">
      <c r="B4" s="54" t="s">
        <v>0</v>
      </c>
      <c r="C4" s="98">
        <f>Summary_data!T13</f>
        <v>11140</v>
      </c>
      <c r="D4" s="100">
        <f>Summary_data!$D$10</f>
        <v>1521</v>
      </c>
      <c r="F4" s="216"/>
      <c r="G4" s="76" t="s">
        <v>89</v>
      </c>
      <c r="H4" s="77"/>
      <c r="I4" s="78" t="s">
        <v>22</v>
      </c>
      <c r="J4" s="77" t="s">
        <v>36</v>
      </c>
      <c r="K4" s="79" t="s">
        <v>37</v>
      </c>
    </row>
    <row r="5" spans="1:11" ht="18" customHeight="1" thickBot="1" x14ac:dyDescent="0.25">
      <c r="B5" s="55" t="s">
        <v>1</v>
      </c>
      <c r="C5" s="98">
        <f>Summary_data!T14</f>
        <v>3210968</v>
      </c>
      <c r="D5" s="101">
        <f>Summary_data!G$10</f>
        <v>461878</v>
      </c>
      <c r="F5" s="219" t="s">
        <v>78</v>
      </c>
      <c r="G5" s="228">
        <f>data!$H$15</f>
        <v>230.71311800000001</v>
      </c>
      <c r="H5" s="209"/>
      <c r="I5" s="208">
        <f>(data!$H$15-data!$H$17)/data!$H$17</f>
        <v>-0.36027559568230483</v>
      </c>
      <c r="J5" s="210">
        <f>data!$H$16</f>
        <v>19.226093166666669</v>
      </c>
      <c r="K5" s="203"/>
    </row>
    <row r="6" spans="1:11" ht="18" customHeight="1" thickBot="1" x14ac:dyDescent="0.25">
      <c r="B6" s="55" t="s">
        <v>2</v>
      </c>
      <c r="C6" s="98">
        <f>Summary_data!T15</f>
        <v>2351536</v>
      </c>
      <c r="D6" s="101">
        <f>Summary_data!H$10</f>
        <v>412847</v>
      </c>
      <c r="F6" s="201"/>
      <c r="G6" s="229"/>
      <c r="H6" s="195"/>
      <c r="I6" s="197"/>
      <c r="J6" s="204"/>
      <c r="K6" s="189"/>
    </row>
    <row r="7" spans="1:11" ht="18" customHeight="1" thickBot="1" x14ac:dyDescent="0.25">
      <c r="B7" s="55" t="s">
        <v>3</v>
      </c>
      <c r="C7" s="99" t="str">
        <f>Summary_data!T16</f>
        <v>12,355.2 GB/day</v>
      </c>
      <c r="D7" s="99" t="str">
        <f>CONCATENATE(FIXED(1024*Summary_data!$K$10,1), " GB/day")</f>
        <v>3,242.3 GB/day</v>
      </c>
      <c r="F7" s="191" t="s">
        <v>72</v>
      </c>
      <c r="G7" s="230">
        <f>data!$H$67</f>
        <v>2935.5405872167821</v>
      </c>
      <c r="H7" s="195"/>
      <c r="I7" s="197">
        <f>(data!$H$67-data!$H$69)/data!$H$69</f>
        <v>-0.25051317630744974</v>
      </c>
      <c r="J7" s="204">
        <f>data!$H$68</f>
        <v>244.62838226806517</v>
      </c>
      <c r="K7" s="189"/>
    </row>
    <row r="8" spans="1:11" ht="18" customHeight="1" thickBot="1" x14ac:dyDescent="0.25">
      <c r="B8" s="55" t="s">
        <v>4</v>
      </c>
      <c r="C8" s="98" t="str">
        <f>Summary_data!T17</f>
        <v>17,923.2 TB</v>
      </c>
      <c r="D8" s="102" t="str">
        <f>CONCATENATE(FIXED(Summary_data!$L$10,1), " TB")</f>
        <v>6,075.1 TB</v>
      </c>
      <c r="F8" s="201"/>
      <c r="G8" s="231"/>
      <c r="H8" s="195"/>
      <c r="I8" s="197"/>
      <c r="J8" s="204"/>
      <c r="K8" s="189"/>
    </row>
    <row r="9" spans="1:11" ht="18" customHeight="1" thickBot="1" x14ac:dyDescent="0.25">
      <c r="B9" s="55" t="s">
        <v>5</v>
      </c>
      <c r="C9" s="98" t="str">
        <f>Summary_data!T18</f>
        <v>1,512.9 M</v>
      </c>
      <c r="D9" s="101" t="str">
        <f>CONCATENATE(FIXED(Summary_data!$O$10,1), " M")</f>
        <v>230.7 M</v>
      </c>
      <c r="F9" s="191" t="s">
        <v>68</v>
      </c>
      <c r="G9" s="193">
        <f>data!$H$120</f>
        <v>252797</v>
      </c>
      <c r="H9" s="195"/>
      <c r="I9" s="197">
        <f>(data!$H$120-data!$H$121)/data!$H$121</f>
        <v>3.968201560442584</v>
      </c>
      <c r="J9" s="199">
        <f>data!$H$119</f>
        <v>24320.666666666668</v>
      </c>
      <c r="K9" s="189"/>
    </row>
    <row r="10" spans="1:11" ht="18" customHeight="1" thickBot="1" x14ac:dyDescent="0.25">
      <c r="B10" s="56" t="s">
        <v>6</v>
      </c>
      <c r="C10" s="99" t="str">
        <f>Summary_data!T19</f>
        <v>40,987.6 GB/day</v>
      </c>
      <c r="D10" s="105" t="str">
        <f>CONCATENATE(FIXED(1024*Summary_data!$Q$10,1), " GB/day")</f>
        <v>8,213.1 GB/day</v>
      </c>
      <c r="F10" s="201"/>
      <c r="G10" s="226"/>
      <c r="H10" s="195"/>
      <c r="I10" s="197"/>
      <c r="J10" s="199"/>
      <c r="K10" s="189"/>
    </row>
    <row r="11" spans="1:11" ht="18" customHeight="1" x14ac:dyDescent="0.2">
      <c r="E11" s="5"/>
      <c r="F11" s="191" t="s">
        <v>77</v>
      </c>
      <c r="G11" s="193">
        <f>data!$H$196</f>
        <v>220035</v>
      </c>
      <c r="H11" s="195"/>
      <c r="I11" s="197">
        <f>(data!$H$196-data!$H$197)/data!$H$197</f>
        <v>-5.317308685324796E-2</v>
      </c>
      <c r="J11" s="199">
        <f>data!$H$195</f>
        <v>34403.916666666664</v>
      </c>
      <c r="K11" s="189"/>
    </row>
    <row r="12" spans="1:11" ht="18" customHeight="1" thickBot="1" x14ac:dyDescent="0.25">
      <c r="F12" s="192"/>
      <c r="G12" s="227"/>
      <c r="H12" s="196"/>
      <c r="I12" s="198"/>
      <c r="J12" s="200"/>
      <c r="K12" s="190"/>
    </row>
    <row r="13" spans="1:11" ht="18" customHeight="1" x14ac:dyDescent="0.2"/>
    <row r="14" spans="1:11" ht="24.95" customHeight="1" x14ac:dyDescent="0.2"/>
    <row r="15" spans="1:11" ht="24.95" customHeight="1" x14ac:dyDescent="0.2"/>
    <row r="16" spans="1:11" ht="24.95" customHeight="1" x14ac:dyDescent="0.2"/>
    <row r="17" ht="24.95" customHeight="1" x14ac:dyDescent="0.2"/>
    <row r="18" ht="24.95" customHeight="1" x14ac:dyDescent="0.2"/>
    <row r="19" ht="24.95" customHeight="1" x14ac:dyDescent="0.2"/>
    <row r="20" ht="24.95" customHeight="1" x14ac:dyDescent="0.2"/>
    <row r="21" ht="24.95" customHeight="1" x14ac:dyDescent="0.2"/>
    <row r="22" ht="24.95" customHeight="1" x14ac:dyDescent="0.2"/>
    <row r="23" ht="24.95" customHeight="1" x14ac:dyDescent="0.2"/>
    <row r="24" ht="24.95" customHeight="1" x14ac:dyDescent="0.2"/>
    <row r="25" ht="24.95" customHeight="1" x14ac:dyDescent="0.2"/>
    <row r="26" ht="24.95" customHeight="1" x14ac:dyDescent="0.2"/>
    <row r="27" ht="24.95" customHeight="1" x14ac:dyDescent="0.2"/>
    <row r="28" ht="24.95" customHeight="1" x14ac:dyDescent="0.2"/>
    <row r="29" ht="24.95" customHeight="1" x14ac:dyDescent="0.2"/>
    <row r="30" ht="24.95" customHeight="1" x14ac:dyDescent="0.2"/>
    <row r="31" ht="24.95" customHeight="1" x14ac:dyDescent="0.2"/>
    <row r="32" ht="24.95" customHeight="1" x14ac:dyDescent="0.2"/>
    <row r="33" ht="30" customHeight="1" x14ac:dyDescent="0.2"/>
    <row r="34" ht="30" customHeight="1" x14ac:dyDescent="0.2"/>
    <row r="35" ht="30" customHeight="1" x14ac:dyDescent="0.2"/>
    <row r="36" ht="30" customHeight="1" x14ac:dyDescent="0.2"/>
    <row r="37" ht="30" customHeight="1" x14ac:dyDescent="0.2"/>
  </sheetData>
  <dataConsolidate/>
  <mergeCells count="28">
    <mergeCell ref="J5:J6"/>
    <mergeCell ref="K5:K6"/>
    <mergeCell ref="F7:F8"/>
    <mergeCell ref="G7:G8"/>
    <mergeCell ref="H7:H8"/>
    <mergeCell ref="I7:I8"/>
    <mergeCell ref="J7:J8"/>
    <mergeCell ref="F3:F4"/>
    <mergeCell ref="F5:F6"/>
    <mergeCell ref="G5:G6"/>
    <mergeCell ref="H5:H6"/>
    <mergeCell ref="I5:I6"/>
    <mergeCell ref="B1:K1"/>
    <mergeCell ref="K11:K12"/>
    <mergeCell ref="F9:F10"/>
    <mergeCell ref="G9:G10"/>
    <mergeCell ref="H9:H10"/>
    <mergeCell ref="I9:I10"/>
    <mergeCell ref="J9:J10"/>
    <mergeCell ref="K9:K10"/>
    <mergeCell ref="F11:F12"/>
    <mergeCell ref="G11:G12"/>
    <mergeCell ref="H11:H12"/>
    <mergeCell ref="I11:I12"/>
    <mergeCell ref="J11:J12"/>
    <mergeCell ref="K7:K8"/>
    <mergeCell ref="B2:D2"/>
    <mergeCell ref="F2:K2"/>
  </mergeCells>
  <conditionalFormatting sqref="I5">
    <cfRule type="iconSet" priority="28">
      <iconSet iconSet="3Arrows">
        <cfvo type="percent" val="0"/>
        <cfvo type="num" val="0"/>
        <cfvo type="num" val="0"/>
      </iconSet>
    </cfRule>
    <cfRule type="iconSet" priority="31">
      <iconSet showValue="0">
        <cfvo type="percent" val="0"/>
        <cfvo type="num" val="0.9"/>
        <cfvo type="num" val="0.95"/>
      </iconSet>
    </cfRule>
  </conditionalFormatting>
  <conditionalFormatting sqref="I5">
    <cfRule type="iconSet" priority="30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32">
      <iconSet>
        <cfvo type="percent" val="0"/>
        <cfvo type="percent" val="33"/>
        <cfvo type="percent" val="67"/>
      </iconSet>
    </cfRule>
    <cfRule type="iconSet" priority="33">
      <iconSet iconSet="4Arrows">
        <cfvo type="percent" val="0"/>
        <cfvo type="percent" val="25"/>
        <cfvo type="percent" val="50"/>
        <cfvo type="percentile" val="75"/>
      </iconSet>
    </cfRule>
    <cfRule type="iconSet" priority="34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35">
      <iconSet iconSet="3Arrows">
        <cfvo type="percent" val="0"/>
        <cfvo type="percent" val="33"/>
        <cfvo type="percent" val="67"/>
      </iconSet>
    </cfRule>
  </conditionalFormatting>
  <conditionalFormatting sqref="I5">
    <cfRule type="iconSet" priority="29">
      <iconSet iconSet="5Arrows">
        <cfvo type="percent" val="0"/>
        <cfvo type="num" val="-0.2"/>
        <cfvo type="num" val="-0.05"/>
        <cfvo type="num" val="0.05"/>
        <cfvo type="num" val="0.2"/>
      </iconSet>
    </cfRule>
  </conditionalFormatting>
  <conditionalFormatting sqref="K7 K5">
    <cfRule type="dataBar" priority="2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{82D7EF43-8305-2542-8C61-4DDEA694CDA9}</x14:id>
        </ext>
      </extLst>
    </cfRule>
  </conditionalFormatting>
  <conditionalFormatting sqref="K9">
    <cfRule type="dataBar" priority="2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{01189959-6941-6C4F-A5D5-9EEC92D14BFD}</x14:id>
        </ext>
      </extLst>
    </cfRule>
  </conditionalFormatting>
  <conditionalFormatting sqref="K11">
    <cfRule type="dataBar" priority="2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{F401D733-4847-6646-8E37-79B4960E7FBB}</x14:id>
        </ext>
      </extLst>
    </cfRule>
  </conditionalFormatting>
  <conditionalFormatting sqref="I7">
    <cfRule type="iconSet" priority="17">
      <iconSet iconSet="3Arrows">
        <cfvo type="percent" val="0"/>
        <cfvo type="num" val="-0.01"/>
        <cfvo type="num" val="0.01"/>
      </iconSet>
    </cfRule>
    <cfRule type="iconSet" priority="20">
      <iconSet showValue="0">
        <cfvo type="percent" val="0"/>
        <cfvo type="num" val="0.9"/>
        <cfvo type="num" val="0.95"/>
      </iconSet>
    </cfRule>
  </conditionalFormatting>
  <conditionalFormatting sqref="I7">
    <cfRule type="iconSet" priority="19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21">
      <iconSet>
        <cfvo type="percent" val="0"/>
        <cfvo type="percent" val="33"/>
        <cfvo type="percent" val="67"/>
      </iconSet>
    </cfRule>
    <cfRule type="iconSet" priority="22">
      <iconSet iconSet="4Arrows">
        <cfvo type="percent" val="0"/>
        <cfvo type="percent" val="25"/>
        <cfvo type="percent" val="50"/>
        <cfvo type="percentile" val="75"/>
      </iconSet>
    </cfRule>
    <cfRule type="iconSet" priority="23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24">
      <iconSet iconSet="3Arrows">
        <cfvo type="percent" val="0"/>
        <cfvo type="percent" val="33"/>
        <cfvo type="percent" val="67"/>
      </iconSet>
    </cfRule>
  </conditionalFormatting>
  <conditionalFormatting sqref="I7">
    <cfRule type="iconSet" priority="18">
      <iconSet iconSet="5Arrows">
        <cfvo type="percent" val="0"/>
        <cfvo type="num" val="-0.2"/>
        <cfvo type="num" val="-0.05"/>
        <cfvo type="num" val="0.05"/>
        <cfvo type="num" val="0.2"/>
      </iconSet>
    </cfRule>
  </conditionalFormatting>
  <conditionalFormatting sqref="I9">
    <cfRule type="iconSet" priority="9">
      <iconSet iconSet="3Arrows">
        <cfvo type="percent" val="0"/>
        <cfvo type="percent" val="0.1"/>
        <cfvo type="percent" val="1"/>
      </iconSet>
    </cfRule>
    <cfRule type="iconSet" priority="12">
      <iconSet showValue="0">
        <cfvo type="percent" val="0"/>
        <cfvo type="num" val="0.9"/>
        <cfvo type="num" val="0.95"/>
      </iconSet>
    </cfRule>
  </conditionalFormatting>
  <conditionalFormatting sqref="I9">
    <cfRule type="iconSet" priority="11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13">
      <iconSet>
        <cfvo type="percent" val="0"/>
        <cfvo type="percent" val="33"/>
        <cfvo type="percent" val="67"/>
      </iconSet>
    </cfRule>
    <cfRule type="iconSet" priority="14">
      <iconSet iconSet="4Arrows">
        <cfvo type="percent" val="0"/>
        <cfvo type="percent" val="25"/>
        <cfvo type="percent" val="50"/>
        <cfvo type="percentile" val="75"/>
      </iconSet>
    </cfRule>
    <cfRule type="iconSet" priority="15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16">
      <iconSet iconSet="3Arrows">
        <cfvo type="percent" val="0"/>
        <cfvo type="percent" val="33"/>
        <cfvo type="percent" val="67"/>
      </iconSet>
    </cfRule>
  </conditionalFormatting>
  <conditionalFormatting sqref="I9">
    <cfRule type="iconSet" priority="10">
      <iconSet iconSet="5Arrows">
        <cfvo type="percent" val="0"/>
        <cfvo type="num" val="-0.2"/>
        <cfvo type="num" val="-0.05"/>
        <cfvo type="num" val="0.05"/>
        <cfvo type="num" val="0.2"/>
      </iconSet>
    </cfRule>
  </conditionalFormatting>
  <conditionalFormatting sqref="I11">
    <cfRule type="iconSet" priority="1">
      <iconSet iconSet="3Arrows">
        <cfvo type="percent" val="0"/>
        <cfvo type="num" val="-0.01"/>
        <cfvo type="num" val="0.01"/>
      </iconSet>
    </cfRule>
    <cfRule type="iconSet" priority="4">
      <iconSet showValue="0">
        <cfvo type="percent" val="0"/>
        <cfvo type="num" val="0.9"/>
        <cfvo type="num" val="0.95"/>
      </iconSet>
    </cfRule>
  </conditionalFormatting>
  <conditionalFormatting sqref="I11">
    <cfRule type="iconSet" priority="3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5">
      <iconSet>
        <cfvo type="percent" val="0"/>
        <cfvo type="percent" val="33"/>
        <cfvo type="percent" val="67"/>
      </iconSet>
    </cfRule>
    <cfRule type="iconSet" priority="6">
      <iconSet iconSet="4Arrows">
        <cfvo type="percent" val="0"/>
        <cfvo type="percent" val="25"/>
        <cfvo type="percent" val="50"/>
        <cfvo type="percentile" val="75"/>
      </iconSet>
    </cfRule>
    <cfRule type="iconSet" priority="7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8">
      <iconSet iconSet="3Arrows">
        <cfvo type="percent" val="0"/>
        <cfvo type="percent" val="33"/>
        <cfvo type="percent" val="67"/>
      </iconSet>
    </cfRule>
  </conditionalFormatting>
  <conditionalFormatting sqref="I11">
    <cfRule type="iconSet" priority="2">
      <iconSet iconSet="5Arrows">
        <cfvo type="percent" val="0"/>
        <cfvo type="num" val="-0.2"/>
        <cfvo type="num" val="-0.05"/>
        <cfvo type="num" val="0.05"/>
        <cfvo type="num" val="0.2"/>
      </iconSet>
    </cfRule>
  </conditionalFormatting>
  <pageMargins left="0.75" right="0.75" top="1" bottom="1" header="0.5" footer="0.5"/>
  <pageSetup scale="75" orientation="landscape" r:id="rId1"/>
  <headerFooter alignWithMargins="0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2D7EF43-8305-2542-8C61-4DDEA694CDA9}">
            <x14:dataBar minLength="0" maxLength="100" negativeBarColorSameAsPositive="1" axisPosition="none">
              <x14:cfvo type="min"/>
              <x14:cfvo type="max"/>
            </x14:dataBar>
          </x14:cfRule>
          <xm:sqref>K7 K5</xm:sqref>
        </x14:conditionalFormatting>
        <x14:conditionalFormatting xmlns:xm="http://schemas.microsoft.com/office/excel/2006/main">
          <x14:cfRule type="dataBar" id="{01189959-6941-6C4F-A5D5-9EEC92D14BFD}">
            <x14:dataBar minLength="0" maxLength="100" negativeBarColorSameAsPositive="1" axisPosition="none">
              <x14:cfvo type="min"/>
              <x14:cfvo type="max"/>
            </x14:dataBar>
          </x14:cfRule>
          <xm:sqref>K9</xm:sqref>
        </x14:conditionalFormatting>
        <x14:conditionalFormatting xmlns:xm="http://schemas.microsoft.com/office/excel/2006/main">
          <x14:cfRule type="dataBar" id="{F401D733-4847-6646-8E37-79B4960E7FBB}">
            <x14:dataBar minLength="0" maxLength="100" negativeBarColorSameAsPositive="1" axisPosition="none">
              <x14:cfvo type="min"/>
              <x14:cfvo type="max"/>
            </x14:dataBar>
          </x14:cfRule>
          <xm:sqref>K11</xm:sqref>
        </x14:conditionalFormatting>
      </x14:conditionalFormattings>
    </ext>
    <ext xmlns:x14="http://schemas.microsoft.com/office/spreadsheetml/2009/9/main" uri="{05C60535-1F16-4fd2-B633-F4F36F0B64E0}">
      <x14:sparklineGroups xmlns:xm="http://schemas.microsoft.com/office/excel/2006/main">
        <x14:sparklineGroup displayEmptyCellsAs="gap" high="1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data!H182:H193</xm:f>
              <xm:sqref>K11</xm:sqref>
            </x14:sparkline>
          </x14:sparklines>
        </x14:sparklineGroup>
        <x14:sparklineGroup displayEmptyCellsAs="gap" high="1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data!H106:H117</xm:f>
              <xm:sqref>K9</xm:sqref>
            </x14:sparkline>
          </x14:sparklines>
        </x14:sparklineGroup>
        <x14:sparklineGroup displayEmptyCellsAs="gap" high="1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data!H3:H14</xm:f>
              <xm:sqref>K5</xm:sqref>
            </x14:sparkline>
          </x14:sparklines>
        </x14:sparklineGroup>
        <x14:sparklineGroup displayEmptyCellsAs="gap" high="1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data!H55:H66</xm:f>
              <xm:sqref>K7</xm:sqref>
            </x14:sparkline>
          </x14:sparklines>
        </x14:sparklineGroup>
      </x14:sparklineGroups>
    </ex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13</vt:i4>
      </vt:variant>
    </vt:vector>
  </HeadingPairs>
  <TitlesOfParts>
    <vt:vector size="32" baseType="lpstr">
      <vt:lpstr>Cover</vt:lpstr>
      <vt:lpstr>Introduction</vt:lpstr>
      <vt:lpstr>ASDC</vt:lpstr>
      <vt:lpstr>ASF</vt:lpstr>
      <vt:lpstr>CDDIS</vt:lpstr>
      <vt:lpstr>GESDISC</vt:lpstr>
      <vt:lpstr>GHRC</vt:lpstr>
      <vt:lpstr>LPDAAC</vt:lpstr>
      <vt:lpstr>MODAPS</vt:lpstr>
      <vt:lpstr>NSIDC</vt:lpstr>
      <vt:lpstr>OBDAAC</vt:lpstr>
      <vt:lpstr>ORNL</vt:lpstr>
      <vt:lpstr>PODAAC</vt:lpstr>
      <vt:lpstr>SEDAC</vt:lpstr>
      <vt:lpstr>LANCE</vt:lpstr>
      <vt:lpstr>Summary_data</vt:lpstr>
      <vt:lpstr>data</vt:lpstr>
      <vt:lpstr>L_Summary_data</vt:lpstr>
      <vt:lpstr>L_data</vt:lpstr>
      <vt:lpstr>ASDC!Print_Area</vt:lpstr>
      <vt:lpstr>ASF!Print_Area</vt:lpstr>
      <vt:lpstr>CDDIS!Print_Area</vt:lpstr>
      <vt:lpstr>GESDISC!Print_Area</vt:lpstr>
      <vt:lpstr>GHRC!Print_Area</vt:lpstr>
      <vt:lpstr>LANCE!Print_Area</vt:lpstr>
      <vt:lpstr>LPDAAC!Print_Area</vt:lpstr>
      <vt:lpstr>MODAPS!Print_Area</vt:lpstr>
      <vt:lpstr>NSIDC!Print_Area</vt:lpstr>
      <vt:lpstr>OBDAAC!Print_Area</vt:lpstr>
      <vt:lpstr>ORNL!Print_Area</vt:lpstr>
      <vt:lpstr>PODAAC!Print_Area</vt:lpstr>
      <vt:lpstr>SEDAC!Print_Area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lwanchoo</dc:creator>
  <cp:lastModifiedBy>lwanchoo</cp:lastModifiedBy>
  <cp:lastPrinted>2015-12-15T15:48:34Z</cp:lastPrinted>
  <dcterms:created xsi:type="dcterms:W3CDTF">2015-11-25T18:34:53Z</dcterms:created>
  <dcterms:modified xsi:type="dcterms:W3CDTF">2017-02-03T20:18:42Z</dcterms:modified>
</cp:coreProperties>
</file>