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harts/chart31.xml" ContentType="application/vnd.openxmlformats-officedocument.drawingml.chart+xml"/>
  <Override PartName="/xl/drawings/drawing24.xml" ContentType="application/vnd.openxmlformats-officedocument.drawingml.chartshapes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ml.chartshapes+xml"/>
  <Override PartName="/xl/charts/chart34.xml" ContentType="application/vnd.openxmlformats-officedocument.drawingml.chart+xml"/>
  <Override PartName="/xl/drawings/drawing27.xml" ContentType="application/vnd.openxmlformats-officedocument.drawingml.chartshapes+xml"/>
  <Override PartName="/xl/charts/chart35.xml" ContentType="application/vnd.openxmlformats-officedocument.drawingml.chart+xml"/>
  <Override PartName="/xl/drawings/drawing28.xml" ContentType="application/vnd.openxmlformats-officedocument.drawingml.chartshapes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0.xml" ContentType="application/vnd.openxmlformats-officedocument.drawingml.chartshapes+xml"/>
  <Override PartName="/xl/charts/chart39.xml" ContentType="application/vnd.openxmlformats-officedocument.drawingml.chart+xml"/>
  <Override PartName="/xl/drawings/drawing31.xml" ContentType="application/vnd.openxmlformats-officedocument.drawingml.chartshapes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charts/chart43.xml" ContentType="application/vnd.openxmlformats-officedocument.drawingml.chart+xml"/>
  <Override PartName="/xl/drawings/drawing34.xml" ContentType="application/vnd.openxmlformats-officedocument.drawingml.chartshapes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6.xml" ContentType="application/vnd.openxmlformats-officedocument.drawingml.chartshapes+xml"/>
  <Override PartName="/xl/charts/chart47.xml" ContentType="application/vnd.openxmlformats-officedocument.drawingml.chart+xml"/>
  <Override PartName="/xl/drawings/drawing37.xml" ContentType="application/vnd.openxmlformats-officedocument.drawingml.chartshapes+xml"/>
  <Override PartName="/xl/charts/chart48.xml" ContentType="application/vnd.openxmlformats-officedocument.drawingml.chart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9.xml" ContentType="application/vnd.openxmlformats-officedocument.drawingml.chartshapes+xml"/>
  <Override PartName="/xl/charts/chart5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0.xml" ContentType="application/vnd.openxmlformats-officedocument.drawingml.chartshapes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wanchoo/Documents/files/esdis/Annual_reports/"/>
    </mc:Choice>
  </mc:AlternateContent>
  <bookViews>
    <workbookView xWindow="-36640" yWindow="-7000" windowWidth="27580" windowHeight="26200" tabRatio="870" firstSheet="1" activeTab="14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GESDISC" sheetId="46" r:id="rId6"/>
    <sheet name="GHRC" sheetId="47" r:id="rId7"/>
    <sheet name="LPDAAC" sheetId="48" r:id="rId8"/>
    <sheet name="MODAPS" sheetId="49" r:id="rId9"/>
    <sheet name="NSIDC" sheetId="50" r:id="rId10"/>
    <sheet name="OBDAAC" sheetId="51" r:id="rId11"/>
    <sheet name="ORNL" sheetId="52" r:id="rId12"/>
    <sheet name="PODAAC" sheetId="53" r:id="rId13"/>
    <sheet name="SEDAC" sheetId="54" r:id="rId14"/>
    <sheet name="LANCE" sheetId="59" r:id="rId15"/>
    <sheet name="Summary_data" sheetId="39" r:id="rId16"/>
    <sheet name="data" sheetId="41" r:id="rId17"/>
    <sheet name="L_Summary_data" sheetId="58" r:id="rId18"/>
    <sheet name="L_data" sheetId="57" r:id="rId19"/>
  </sheets>
  <definedNames>
    <definedName name="_xlnm.Print_Area" localSheetId="2">ASDC!$A$1:$C$14</definedName>
    <definedName name="_xlnm.Print_Area" localSheetId="3">ASF!$A$1:$C$14</definedName>
    <definedName name="_xlnm.Print_Area" localSheetId="4">CDDIS!$A$1:$C$14</definedName>
    <definedName name="_xlnm.Print_Area" localSheetId="5">GESDISC!$A$1:$C$14</definedName>
    <definedName name="_xlnm.Print_Area" localSheetId="6">GHRC!$A$1:$C$14</definedName>
    <definedName name="_xlnm.Print_Area" localSheetId="17">L_Summary_data!#REF!</definedName>
    <definedName name="_xlnm.Print_Area" localSheetId="14">LANCE!$A$1:$C$14</definedName>
    <definedName name="_xlnm.Print_Area" localSheetId="7">LPDAAC!$A$1:$C$14</definedName>
    <definedName name="_xlnm.Print_Area" localSheetId="8">MODAPS!$A$1:$C$14</definedName>
    <definedName name="_xlnm.Print_Area" localSheetId="9">NSIDC!$A$1:$K$32</definedName>
    <definedName name="_xlnm.Print_Area" localSheetId="10">OBDAAC!$A$1:$C$14</definedName>
    <definedName name="_xlnm.Print_Area" localSheetId="11">ORNL!$A$1:$C$14</definedName>
    <definedName name="_xlnm.Print_Area" localSheetId="12">PODAAC!$A$1:$C$14</definedName>
    <definedName name="_xlnm.Print_Area" localSheetId="13">SEDAC!$A$1:$C$14</definedName>
    <definedName name="_xlnm.Print_Area" localSheetId="15">Summary_data!#REF!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39" l="1"/>
  <c r="C8" i="59"/>
  <c r="C5" i="59"/>
  <c r="C4" i="59"/>
  <c r="D8" i="59"/>
  <c r="T19" i="39"/>
  <c r="T4" i="39"/>
  <c r="T5" i="39"/>
  <c r="T9" i="39"/>
  <c r="C12" i="59"/>
  <c r="T8" i="39"/>
  <c r="C11" i="59"/>
  <c r="F2" i="59"/>
  <c r="F2" i="54"/>
  <c r="D6" i="59"/>
  <c r="I16" i="39"/>
  <c r="I5" i="43"/>
  <c r="M166" i="41"/>
  <c r="L166" i="41"/>
  <c r="K166" i="41"/>
  <c r="J166" i="41"/>
  <c r="I166" i="41"/>
  <c r="H166" i="41"/>
  <c r="G166" i="41"/>
  <c r="F166" i="41"/>
  <c r="E166" i="41"/>
  <c r="D166" i="41"/>
  <c r="C166" i="41"/>
  <c r="B166" i="41"/>
  <c r="N166" i="41"/>
  <c r="B1" i="50"/>
  <c r="B1" i="51"/>
  <c r="I4" i="59"/>
  <c r="G4" i="59"/>
  <c r="I4" i="54"/>
  <c r="G4" i="54"/>
  <c r="I4" i="53"/>
  <c r="G4" i="53"/>
  <c r="I4" i="52"/>
  <c r="G4" i="52"/>
  <c r="I4" i="51"/>
  <c r="G4" i="51"/>
  <c r="I4" i="50"/>
  <c r="G4" i="50"/>
  <c r="I4" i="49"/>
  <c r="G4" i="49"/>
  <c r="I4" i="48"/>
  <c r="G4" i="48"/>
  <c r="I4" i="47"/>
  <c r="G4" i="47"/>
  <c r="I4" i="46"/>
  <c r="G4" i="46"/>
  <c r="I4" i="45"/>
  <c r="G4" i="45"/>
  <c r="I4" i="44"/>
  <c r="G4" i="44"/>
  <c r="I4" i="43"/>
  <c r="G4" i="43"/>
  <c r="B1" i="59"/>
  <c r="B1" i="54"/>
  <c r="B1" i="53"/>
  <c r="B1" i="52"/>
  <c r="B1" i="49"/>
  <c r="B1" i="48"/>
  <c r="B1" i="47"/>
  <c r="B1" i="46"/>
  <c r="B1" i="45"/>
  <c r="B1" i="44"/>
  <c r="B2" i="59"/>
  <c r="B2" i="54"/>
  <c r="B2" i="53"/>
  <c r="B2" i="52"/>
  <c r="B2" i="51"/>
  <c r="B2" i="50"/>
  <c r="B2" i="49"/>
  <c r="B2" i="48"/>
  <c r="B2" i="47"/>
  <c r="B2" i="46"/>
  <c r="B2" i="45"/>
  <c r="B2" i="44"/>
  <c r="B2" i="43"/>
  <c r="B1" i="43"/>
  <c r="F2" i="43"/>
  <c r="F2" i="44"/>
  <c r="A228" i="57"/>
  <c r="A227" i="57"/>
  <c r="A226" i="57"/>
  <c r="A225" i="57"/>
  <c r="A224" i="57"/>
  <c r="A223" i="57"/>
  <c r="A222" i="57"/>
  <c r="A221" i="57"/>
  <c r="A220" i="57"/>
  <c r="A219" i="57"/>
  <c r="A218" i="57"/>
  <c r="A217" i="57"/>
  <c r="A212" i="57"/>
  <c r="A211" i="57"/>
  <c r="A210" i="57"/>
  <c r="A209" i="57"/>
  <c r="A208" i="57"/>
  <c r="A207" i="57"/>
  <c r="A206" i="57"/>
  <c r="A205" i="57"/>
  <c r="A204" i="57"/>
  <c r="A203" i="57"/>
  <c r="A202" i="57"/>
  <c r="A201" i="57"/>
  <c r="A193" i="57"/>
  <c r="A192" i="57"/>
  <c r="A191" i="57"/>
  <c r="A190" i="57"/>
  <c r="A189" i="57"/>
  <c r="A188" i="57"/>
  <c r="A187" i="57"/>
  <c r="A186" i="57"/>
  <c r="A185" i="57"/>
  <c r="A184" i="57"/>
  <c r="A183" i="57"/>
  <c r="A182" i="57"/>
  <c r="A181" i="57"/>
  <c r="B167" i="57"/>
  <c r="A155" i="57"/>
  <c r="A154" i="57"/>
  <c r="A153" i="57"/>
  <c r="A152" i="57"/>
  <c r="A151" i="57"/>
  <c r="A150" i="57"/>
  <c r="A149" i="57"/>
  <c r="A148" i="57"/>
  <c r="A147" i="57"/>
  <c r="A146" i="57"/>
  <c r="A145" i="57"/>
  <c r="A144" i="57"/>
  <c r="A139" i="57"/>
  <c r="A138" i="57"/>
  <c r="A137" i="57"/>
  <c r="A136" i="57"/>
  <c r="A135" i="57"/>
  <c r="A134" i="57"/>
  <c r="A133" i="57"/>
  <c r="A132" i="57"/>
  <c r="A131" i="57"/>
  <c r="A130" i="57"/>
  <c r="A129" i="57"/>
  <c r="A128" i="57"/>
  <c r="A120" i="57"/>
  <c r="A119" i="57"/>
  <c r="A118" i="57"/>
  <c r="A117" i="57"/>
  <c r="A116" i="57"/>
  <c r="A115" i="57"/>
  <c r="A114" i="57"/>
  <c r="A113" i="57"/>
  <c r="A112" i="57"/>
  <c r="A111" i="57"/>
  <c r="A110" i="57"/>
  <c r="A109" i="57"/>
  <c r="A108" i="57"/>
  <c r="A102" i="57"/>
  <c r="A101" i="57"/>
  <c r="A100" i="57"/>
  <c r="A99" i="57"/>
  <c r="A98" i="57"/>
  <c r="A97" i="57"/>
  <c r="A96" i="57"/>
  <c r="A95" i="57"/>
  <c r="A94" i="57"/>
  <c r="A93" i="57"/>
  <c r="A92" i="57"/>
  <c r="A91" i="57"/>
  <c r="A86" i="57"/>
  <c r="A85" i="57"/>
  <c r="A84" i="57"/>
  <c r="A83" i="57"/>
  <c r="A82" i="57"/>
  <c r="A81" i="57"/>
  <c r="A80" i="57"/>
  <c r="A79" i="57"/>
  <c r="A78" i="57"/>
  <c r="A77" i="57"/>
  <c r="A76" i="57"/>
  <c r="A75" i="57"/>
  <c r="A49" i="57"/>
  <c r="A48" i="57"/>
  <c r="A47" i="57"/>
  <c r="A46" i="57"/>
  <c r="A45" i="57"/>
  <c r="A44" i="57"/>
  <c r="A43" i="57"/>
  <c r="A42" i="57"/>
  <c r="A41" i="57"/>
  <c r="A40" i="57"/>
  <c r="A39" i="57"/>
  <c r="A38" i="57"/>
  <c r="A68" i="57"/>
  <c r="A67" i="57"/>
  <c r="A66" i="57"/>
  <c r="A65" i="57"/>
  <c r="A64" i="57"/>
  <c r="A63" i="57"/>
  <c r="A62" i="57"/>
  <c r="A61" i="57"/>
  <c r="A60" i="57"/>
  <c r="A59" i="57"/>
  <c r="A58" i="57"/>
  <c r="A57" i="57"/>
  <c r="A56" i="57"/>
  <c r="D68" i="57"/>
  <c r="D67" i="57"/>
  <c r="D66" i="57"/>
  <c r="D65" i="57"/>
  <c r="D64" i="57"/>
  <c r="D63" i="57"/>
  <c r="D62" i="57"/>
  <c r="D61" i="57"/>
  <c r="D60" i="57"/>
  <c r="D59" i="57"/>
  <c r="D58" i="57"/>
  <c r="D57" i="57"/>
  <c r="D56" i="57"/>
  <c r="A15" i="57"/>
  <c r="A14" i="57"/>
  <c r="A13" i="57"/>
  <c r="A12" i="57"/>
  <c r="A11" i="57"/>
  <c r="A10" i="57"/>
  <c r="A9" i="57"/>
  <c r="A8" i="57"/>
  <c r="A7" i="57"/>
  <c r="A6" i="57"/>
  <c r="A5" i="57"/>
  <c r="A4" i="57"/>
  <c r="A3" i="57"/>
  <c r="AH246" i="41"/>
  <c r="AG246" i="41"/>
  <c r="AF246" i="41"/>
  <c r="AE246" i="41"/>
  <c r="AD246" i="41"/>
  <c r="AC246" i="41"/>
  <c r="AB246" i="41"/>
  <c r="AA246" i="41"/>
  <c r="Z246" i="41"/>
  <c r="Y246" i="41"/>
  <c r="X246" i="41"/>
  <c r="W246" i="41"/>
  <c r="V246" i="41"/>
  <c r="U246" i="41"/>
  <c r="T246" i="41"/>
  <c r="S246" i="41"/>
  <c r="R246" i="41"/>
  <c r="Q246" i="41"/>
  <c r="P246" i="41"/>
  <c r="O246" i="41"/>
  <c r="N246" i="41"/>
  <c r="M246" i="41"/>
  <c r="L246" i="41"/>
  <c r="K246" i="41"/>
  <c r="J246" i="41"/>
  <c r="I246" i="41"/>
  <c r="H246" i="41"/>
  <c r="G246" i="41"/>
  <c r="F246" i="41"/>
  <c r="E246" i="41"/>
  <c r="D246" i="41"/>
  <c r="C246" i="41"/>
  <c r="B246" i="41"/>
  <c r="A229" i="41"/>
  <c r="A228" i="41"/>
  <c r="A227" i="41"/>
  <c r="A226" i="41"/>
  <c r="A225" i="41"/>
  <c r="A224" i="41"/>
  <c r="A223" i="41"/>
  <c r="A222" i="41"/>
  <c r="A221" i="41"/>
  <c r="A220" i="41"/>
  <c r="A219" i="41"/>
  <c r="A218" i="41"/>
  <c r="A213" i="41"/>
  <c r="A212" i="41"/>
  <c r="A211" i="41"/>
  <c r="A210" i="41"/>
  <c r="A209" i="41"/>
  <c r="A208" i="41"/>
  <c r="A207" i="41"/>
  <c r="A206" i="41"/>
  <c r="A205" i="41"/>
  <c r="A204" i="41"/>
  <c r="A203" i="41"/>
  <c r="A202" i="41"/>
  <c r="A84" i="41"/>
  <c r="A83" i="41"/>
  <c r="A82" i="41"/>
  <c r="A81" i="41"/>
  <c r="A80" i="41"/>
  <c r="A79" i="41"/>
  <c r="A78" i="41"/>
  <c r="A77" i="41"/>
  <c r="A76" i="41"/>
  <c r="A75" i="41"/>
  <c r="A74" i="41"/>
  <c r="A73" i="41"/>
  <c r="O166" i="41"/>
  <c r="AK117" i="41"/>
  <c r="AK116" i="41"/>
  <c r="AK115" i="41"/>
  <c r="AK114" i="41"/>
  <c r="AK113" i="41"/>
  <c r="AK112" i="41"/>
  <c r="AK111" i="41"/>
  <c r="AK110" i="41"/>
  <c r="AK109" i="41"/>
  <c r="AK108" i="41"/>
  <c r="AK118" i="41"/>
  <c r="AK107" i="41"/>
  <c r="AK106" i="41"/>
  <c r="AJ118" i="41"/>
  <c r="AI118" i="41"/>
  <c r="AH118" i="41"/>
  <c r="AG118" i="41"/>
  <c r="AF118" i="41"/>
  <c r="AE118" i="41"/>
  <c r="AD118" i="41"/>
  <c r="AC118" i="41"/>
  <c r="AB118" i="41"/>
  <c r="AA118" i="41"/>
  <c r="Z118" i="41"/>
  <c r="Y118" i="41"/>
  <c r="X118" i="41"/>
  <c r="W118" i="41"/>
  <c r="V118" i="41"/>
  <c r="U118" i="41"/>
  <c r="T118" i="41"/>
  <c r="S118" i="41"/>
  <c r="R118" i="41"/>
  <c r="Q118" i="41"/>
  <c r="A117" i="41"/>
  <c r="A116" i="41"/>
  <c r="A115" i="41"/>
  <c r="A114" i="41"/>
  <c r="A113" i="41"/>
  <c r="A112" i="41"/>
  <c r="A111" i="41"/>
  <c r="A110" i="41"/>
  <c r="A109" i="41"/>
  <c r="A108" i="41"/>
  <c r="A107" i="41"/>
  <c r="A106" i="41"/>
  <c r="P117" i="41"/>
  <c r="P116" i="41"/>
  <c r="P115" i="41"/>
  <c r="P114" i="41"/>
  <c r="P113" i="41"/>
  <c r="P112" i="41"/>
  <c r="P111" i="41"/>
  <c r="P110" i="41"/>
  <c r="P109" i="41"/>
  <c r="P108" i="41"/>
  <c r="P107" i="41"/>
  <c r="P106" i="41"/>
  <c r="A100" i="41"/>
  <c r="A136" i="41"/>
  <c r="A152" i="41"/>
  <c r="A194" i="41"/>
  <c r="A98" i="41"/>
  <c r="A134" i="41"/>
  <c r="A150" i="41"/>
  <c r="A192" i="41"/>
  <c r="A92" i="41"/>
  <c r="A128" i="41"/>
  <c r="A144" i="41"/>
  <c r="A186" i="41"/>
  <c r="A90" i="41"/>
  <c r="A126" i="41"/>
  <c r="A142" i="41"/>
  <c r="A184" i="41"/>
  <c r="A99" i="41"/>
  <c r="A135" i="41"/>
  <c r="A151" i="41"/>
  <c r="A193" i="41"/>
  <c r="A97" i="41"/>
  <c r="A133" i="41"/>
  <c r="A149" i="41"/>
  <c r="A191" i="41"/>
  <c r="A96" i="41"/>
  <c r="A132" i="41"/>
  <c r="A148" i="41"/>
  <c r="A190" i="41"/>
  <c r="A95" i="41"/>
  <c r="A131" i="41"/>
  <c r="A147" i="41"/>
  <c r="A189" i="41"/>
  <c r="A94" i="41"/>
  <c r="A130" i="41"/>
  <c r="A146" i="41"/>
  <c r="A188" i="41"/>
  <c r="A93" i="41"/>
  <c r="A129" i="41"/>
  <c r="A145" i="41"/>
  <c r="A187" i="41"/>
  <c r="A91" i="41"/>
  <c r="A127" i="41"/>
  <c r="A143" i="41"/>
  <c r="A185" i="41"/>
  <c r="A89" i="41"/>
  <c r="A125" i="41"/>
  <c r="A141" i="41"/>
  <c r="A183" i="41"/>
  <c r="A66" i="41"/>
  <c r="A64" i="41"/>
  <c r="A58" i="41"/>
  <c r="A56" i="41"/>
  <c r="P66" i="41"/>
  <c r="P65" i="41"/>
  <c r="A65" i="41"/>
  <c r="P64" i="41"/>
  <c r="P63" i="41"/>
  <c r="A63" i="41"/>
  <c r="P62" i="41"/>
  <c r="A62" i="41"/>
  <c r="P61" i="41"/>
  <c r="A61" i="41"/>
  <c r="P60" i="41"/>
  <c r="A60" i="41"/>
  <c r="P59" i="41"/>
  <c r="A59" i="41"/>
  <c r="P58" i="41"/>
  <c r="P57" i="41"/>
  <c r="A57" i="41"/>
  <c r="P56" i="41"/>
  <c r="P55" i="41"/>
  <c r="A55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14" i="41"/>
  <c r="A13" i="41"/>
  <c r="A12" i="41"/>
  <c r="A11" i="41"/>
  <c r="A10" i="41"/>
  <c r="A9" i="41"/>
  <c r="A8" i="41"/>
  <c r="A7" i="41"/>
  <c r="A6" i="41"/>
  <c r="A5" i="41"/>
  <c r="A4" i="41"/>
  <c r="A3" i="41"/>
  <c r="P15" i="39"/>
  <c r="P14" i="39"/>
  <c r="P13" i="39"/>
  <c r="P12" i="39"/>
  <c r="P11" i="39"/>
  <c r="P10" i="39"/>
  <c r="P9" i="39"/>
  <c r="P8" i="39"/>
  <c r="P7" i="39"/>
  <c r="P6" i="39"/>
  <c r="P5" i="39"/>
  <c r="P4" i="39"/>
  <c r="O15" i="39"/>
  <c r="O14" i="39"/>
  <c r="O13" i="39"/>
  <c r="O12" i="39"/>
  <c r="O11" i="39"/>
  <c r="O10" i="39"/>
  <c r="O9" i="39"/>
  <c r="O8" i="39"/>
  <c r="O7" i="39"/>
  <c r="O6" i="39"/>
  <c r="O5" i="39"/>
  <c r="O4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P71" i="39"/>
  <c r="P44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P31" i="39"/>
  <c r="K15" i="39"/>
  <c r="K14" i="39"/>
  <c r="K13" i="39"/>
  <c r="K12" i="39"/>
  <c r="K11" i="39"/>
  <c r="K10" i="39"/>
  <c r="K9" i="39"/>
  <c r="K8" i="39"/>
  <c r="K7" i="39"/>
  <c r="K6" i="39"/>
  <c r="K5" i="39"/>
  <c r="K4" i="39"/>
  <c r="P58" i="39"/>
  <c r="E16" i="39"/>
  <c r="I11" i="59"/>
  <c r="G11" i="59"/>
  <c r="D11" i="59"/>
  <c r="I9" i="59"/>
  <c r="G9" i="59"/>
  <c r="D4" i="59"/>
  <c r="D3" i="59"/>
  <c r="P4" i="58"/>
  <c r="D12" i="59"/>
  <c r="K4" i="58"/>
  <c r="D10" i="59"/>
  <c r="J4" i="58"/>
  <c r="D9" i="59"/>
  <c r="F4" i="58"/>
  <c r="D5" i="59"/>
  <c r="B228" i="57"/>
  <c r="B227" i="57"/>
  <c r="B226" i="57"/>
  <c r="B225" i="57"/>
  <c r="B224" i="57"/>
  <c r="B223" i="57"/>
  <c r="B222" i="57"/>
  <c r="B221" i="57"/>
  <c r="B220" i="57"/>
  <c r="B219" i="57"/>
  <c r="B218" i="57"/>
  <c r="B217" i="57"/>
  <c r="B195" i="57"/>
  <c r="B209" i="57"/>
  <c r="B166" i="57"/>
  <c r="B165" i="57"/>
  <c r="B164" i="57"/>
  <c r="B163" i="57"/>
  <c r="B162" i="57"/>
  <c r="B161" i="57"/>
  <c r="B160" i="57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C123" i="57"/>
  <c r="B122" i="57"/>
  <c r="B137" i="57"/>
  <c r="B121" i="57"/>
  <c r="E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E16" i="57"/>
  <c r="B15" i="57"/>
  <c r="B14" i="57"/>
  <c r="B13" i="57"/>
  <c r="B12" i="57"/>
  <c r="B11" i="57"/>
  <c r="B10" i="57"/>
  <c r="B9" i="57"/>
  <c r="B8" i="57"/>
  <c r="B7" i="57"/>
  <c r="B6" i="57"/>
  <c r="B5" i="57"/>
  <c r="B4" i="57"/>
  <c r="B3" i="57"/>
  <c r="B97" i="57"/>
  <c r="B47" i="57"/>
  <c r="B39" i="57"/>
  <c r="B204" i="57"/>
  <c r="B206" i="57"/>
  <c r="B212" i="57"/>
  <c r="J11" i="59"/>
  <c r="J9" i="59"/>
  <c r="B99" i="57"/>
  <c r="B94" i="57"/>
  <c r="B96" i="57"/>
  <c r="B98" i="57"/>
  <c r="B93" i="57"/>
  <c r="B101" i="57"/>
  <c r="B95" i="57"/>
  <c r="B102" i="57"/>
  <c r="B91" i="57"/>
  <c r="B17" i="57"/>
  <c r="J5" i="59"/>
  <c r="B48" i="57"/>
  <c r="B46" i="57"/>
  <c r="B43" i="57"/>
  <c r="B44" i="57"/>
  <c r="B45" i="57"/>
  <c r="B40" i="57"/>
  <c r="B41" i="57"/>
  <c r="B49" i="57"/>
  <c r="B92" i="57"/>
  <c r="B100" i="57"/>
  <c r="B130" i="57"/>
  <c r="B138" i="57"/>
  <c r="B202" i="57"/>
  <c r="B210" i="57"/>
  <c r="B70" i="57"/>
  <c r="B131" i="57"/>
  <c r="B139" i="57"/>
  <c r="B203" i="57"/>
  <c r="B211" i="57"/>
  <c r="B42" i="57"/>
  <c r="B132" i="57"/>
  <c r="B133" i="57"/>
  <c r="B205" i="57"/>
  <c r="B16" i="57"/>
  <c r="B38" i="57"/>
  <c r="B135" i="57"/>
  <c r="B207" i="57"/>
  <c r="B134" i="57"/>
  <c r="B128" i="57"/>
  <c r="B136" i="57"/>
  <c r="B208" i="57"/>
  <c r="B69" i="57"/>
  <c r="B129" i="57"/>
  <c r="B201" i="57"/>
  <c r="B33" i="57"/>
  <c r="B26" i="57"/>
  <c r="B22" i="57"/>
  <c r="B80" i="57"/>
  <c r="J7" i="59"/>
  <c r="I7" i="59"/>
  <c r="G7" i="59"/>
  <c r="B25" i="57"/>
  <c r="B28" i="57"/>
  <c r="B32" i="57"/>
  <c r="B29" i="57"/>
  <c r="B31" i="57"/>
  <c r="B23" i="57"/>
  <c r="B27" i="57"/>
  <c r="B30" i="57"/>
  <c r="B24" i="57"/>
  <c r="I5" i="59"/>
  <c r="G5" i="59"/>
  <c r="B140" i="57"/>
  <c r="B85" i="57"/>
  <c r="B79" i="57"/>
  <c r="B77" i="57"/>
  <c r="B83" i="57"/>
  <c r="B75" i="57"/>
  <c r="B213" i="57"/>
  <c r="B86" i="57"/>
  <c r="B76" i="57"/>
  <c r="B50" i="57"/>
  <c r="B78" i="57"/>
  <c r="B84" i="57"/>
  <c r="B82" i="57"/>
  <c r="B81" i="57"/>
  <c r="B34" i="57"/>
  <c r="B87" i="57"/>
  <c r="M195" i="41"/>
  <c r="L195" i="41"/>
  <c r="K195" i="41"/>
  <c r="J195" i="41"/>
  <c r="I195" i="41"/>
  <c r="H195" i="41"/>
  <c r="G195" i="41"/>
  <c r="F195" i="41"/>
  <c r="E195" i="41"/>
  <c r="D195" i="41"/>
  <c r="C195" i="41"/>
  <c r="B195" i="41"/>
  <c r="F2" i="53"/>
  <c r="F2" i="52"/>
  <c r="F2" i="51"/>
  <c r="F2" i="50"/>
  <c r="F2" i="49"/>
  <c r="F2" i="48"/>
  <c r="F2" i="47"/>
  <c r="F2" i="46"/>
  <c r="F2" i="45"/>
  <c r="N165" i="41"/>
  <c r="O165" i="41"/>
  <c r="M117" i="41"/>
  <c r="L117" i="41"/>
  <c r="K117" i="41"/>
  <c r="J117" i="41"/>
  <c r="I117" i="41"/>
  <c r="H117" i="41"/>
  <c r="G117" i="41"/>
  <c r="F117" i="41"/>
  <c r="E117" i="41"/>
  <c r="D117" i="41"/>
  <c r="C117" i="41"/>
  <c r="B117" i="41"/>
  <c r="M116" i="41"/>
  <c r="L116" i="41"/>
  <c r="K116" i="41"/>
  <c r="J116" i="41"/>
  <c r="I116" i="41"/>
  <c r="H116" i="41"/>
  <c r="G116" i="41"/>
  <c r="F116" i="41"/>
  <c r="E116" i="41"/>
  <c r="D116" i="41"/>
  <c r="C116" i="41"/>
  <c r="B116" i="41"/>
  <c r="M115" i="41"/>
  <c r="L115" i="41"/>
  <c r="K115" i="41"/>
  <c r="J115" i="41"/>
  <c r="I115" i="41"/>
  <c r="H115" i="41"/>
  <c r="G115" i="41"/>
  <c r="F115" i="41"/>
  <c r="E115" i="41"/>
  <c r="D115" i="41"/>
  <c r="C115" i="41"/>
  <c r="B115" i="41"/>
  <c r="M114" i="41"/>
  <c r="L114" i="41"/>
  <c r="K114" i="41"/>
  <c r="J114" i="41"/>
  <c r="I114" i="41"/>
  <c r="H114" i="41"/>
  <c r="G114" i="41"/>
  <c r="F114" i="41"/>
  <c r="E114" i="41"/>
  <c r="D114" i="41"/>
  <c r="C114" i="41"/>
  <c r="B114" i="41"/>
  <c r="M113" i="41"/>
  <c r="L113" i="41"/>
  <c r="K113" i="41"/>
  <c r="J113" i="41"/>
  <c r="I113" i="41"/>
  <c r="H113" i="41"/>
  <c r="G113" i="41"/>
  <c r="F113" i="41"/>
  <c r="E113" i="41"/>
  <c r="D113" i="41"/>
  <c r="C113" i="41"/>
  <c r="B113" i="41"/>
  <c r="M112" i="41"/>
  <c r="L112" i="41"/>
  <c r="K112" i="41"/>
  <c r="J112" i="41"/>
  <c r="I112" i="41"/>
  <c r="H112" i="41"/>
  <c r="G112" i="41"/>
  <c r="F112" i="41"/>
  <c r="E112" i="41"/>
  <c r="D112" i="41"/>
  <c r="C112" i="41"/>
  <c r="B112" i="41"/>
  <c r="M111" i="41"/>
  <c r="L111" i="41"/>
  <c r="K111" i="41"/>
  <c r="J111" i="41"/>
  <c r="I111" i="41"/>
  <c r="H111" i="41"/>
  <c r="G111" i="41"/>
  <c r="F111" i="41"/>
  <c r="E111" i="41"/>
  <c r="D111" i="41"/>
  <c r="C111" i="41"/>
  <c r="B111" i="41"/>
  <c r="M110" i="41"/>
  <c r="L110" i="41"/>
  <c r="K110" i="41"/>
  <c r="J110" i="41"/>
  <c r="I110" i="41"/>
  <c r="H110" i="41"/>
  <c r="G110" i="41"/>
  <c r="F110" i="41"/>
  <c r="E110" i="41"/>
  <c r="D110" i="41"/>
  <c r="C110" i="41"/>
  <c r="B110" i="41"/>
  <c r="M109" i="41"/>
  <c r="L109" i="41"/>
  <c r="K109" i="41"/>
  <c r="J109" i="41"/>
  <c r="I109" i="41"/>
  <c r="H109" i="41"/>
  <c r="G109" i="41"/>
  <c r="F109" i="41"/>
  <c r="E109" i="41"/>
  <c r="D109" i="41"/>
  <c r="C109" i="41"/>
  <c r="B109" i="41"/>
  <c r="M108" i="41"/>
  <c r="L108" i="41"/>
  <c r="K108" i="41"/>
  <c r="J108" i="41"/>
  <c r="I108" i="41"/>
  <c r="H108" i="41"/>
  <c r="G108" i="41"/>
  <c r="F108" i="41"/>
  <c r="E108" i="41"/>
  <c r="D108" i="41"/>
  <c r="C108" i="41"/>
  <c r="B108" i="41"/>
  <c r="M107" i="41"/>
  <c r="L107" i="41"/>
  <c r="K107" i="41"/>
  <c r="J107" i="41"/>
  <c r="I107" i="41"/>
  <c r="H107" i="41"/>
  <c r="G107" i="41"/>
  <c r="F107" i="41"/>
  <c r="E107" i="41"/>
  <c r="D107" i="41"/>
  <c r="C107" i="41"/>
  <c r="B107" i="41"/>
  <c r="M106" i="41"/>
  <c r="L106" i="41"/>
  <c r="K106" i="41"/>
  <c r="J106" i="41"/>
  <c r="I106" i="41"/>
  <c r="H106" i="41"/>
  <c r="G106" i="41"/>
  <c r="F106" i="41"/>
  <c r="E106" i="41"/>
  <c r="D106" i="41"/>
  <c r="C106" i="41"/>
  <c r="B106" i="41"/>
  <c r="P70" i="39"/>
  <c r="O57" i="39"/>
  <c r="Q15" i="39"/>
  <c r="N57" i="39"/>
  <c r="Q14" i="39"/>
  <c r="M57" i="39"/>
  <c r="Q13" i="39"/>
  <c r="L57" i="39"/>
  <c r="Q12" i="39"/>
  <c r="K57" i="39"/>
  <c r="Q11" i="39"/>
  <c r="J57" i="39"/>
  <c r="Q10" i="39"/>
  <c r="I57" i="39"/>
  <c r="Q9" i="39"/>
  <c r="H57" i="39"/>
  <c r="Q8" i="39"/>
  <c r="G57" i="39"/>
  <c r="Q7" i="39"/>
  <c r="F57" i="39"/>
  <c r="Q6" i="39"/>
  <c r="E57" i="39"/>
  <c r="Q5" i="39"/>
  <c r="D57" i="39"/>
  <c r="Q4" i="39"/>
  <c r="P43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P30" i="39"/>
  <c r="P57" i="39"/>
  <c r="C4" i="54"/>
  <c r="C4" i="53"/>
  <c r="C4" i="52"/>
  <c r="C4" i="51"/>
  <c r="C4" i="50"/>
  <c r="C4" i="49"/>
  <c r="C4" i="48"/>
  <c r="C4" i="47"/>
  <c r="C4" i="46"/>
  <c r="C4" i="45"/>
  <c r="C4" i="44"/>
  <c r="C5" i="43"/>
  <c r="C4" i="43"/>
  <c r="C10" i="48"/>
  <c r="C9" i="48"/>
  <c r="C6" i="48"/>
  <c r="C5" i="48"/>
  <c r="C10" i="47"/>
  <c r="C9" i="47"/>
  <c r="C6" i="47"/>
  <c r="C5" i="47"/>
  <c r="C10" i="46"/>
  <c r="C9" i="46"/>
  <c r="C6" i="46"/>
  <c r="C5" i="46"/>
  <c r="C10" i="45"/>
  <c r="C9" i="45"/>
  <c r="C6" i="45"/>
  <c r="C5" i="45"/>
  <c r="C10" i="49"/>
  <c r="C9" i="49"/>
  <c r="C6" i="49"/>
  <c r="C5" i="49"/>
  <c r="C10" i="50"/>
  <c r="C9" i="50"/>
  <c r="C6" i="50"/>
  <c r="C5" i="50"/>
  <c r="C10" i="51"/>
  <c r="C9" i="51"/>
  <c r="C6" i="51"/>
  <c r="C5" i="51"/>
  <c r="C10" i="52"/>
  <c r="C9" i="52"/>
  <c r="C6" i="52"/>
  <c r="C5" i="52"/>
  <c r="C10" i="53"/>
  <c r="C9" i="53"/>
  <c r="C6" i="53"/>
  <c r="C5" i="53"/>
  <c r="C10" i="54"/>
  <c r="C9" i="54"/>
  <c r="C6" i="54"/>
  <c r="C5" i="54"/>
  <c r="C10" i="44"/>
  <c r="C6" i="44"/>
  <c r="C5" i="44"/>
  <c r="C6" i="43"/>
  <c r="C10" i="43"/>
  <c r="C9" i="44"/>
  <c r="C9" i="43"/>
  <c r="D8" i="54"/>
  <c r="D8" i="47"/>
  <c r="I11" i="54"/>
  <c r="G11" i="54"/>
  <c r="I9" i="54"/>
  <c r="G9" i="54"/>
  <c r="D9" i="54"/>
  <c r="D6" i="54"/>
  <c r="D4" i="54"/>
  <c r="D3" i="54"/>
  <c r="I11" i="53"/>
  <c r="G11" i="53"/>
  <c r="I9" i="53"/>
  <c r="G9" i="53"/>
  <c r="D9" i="53"/>
  <c r="D8" i="53"/>
  <c r="D6" i="53"/>
  <c r="D4" i="53"/>
  <c r="D3" i="53"/>
  <c r="I11" i="52"/>
  <c r="G11" i="52"/>
  <c r="I9" i="52"/>
  <c r="G9" i="52"/>
  <c r="D9" i="52"/>
  <c r="D8" i="52"/>
  <c r="D6" i="52"/>
  <c r="D4" i="52"/>
  <c r="D3" i="52"/>
  <c r="K196" i="41"/>
  <c r="J11" i="52"/>
  <c r="J119" i="41"/>
  <c r="J9" i="51"/>
  <c r="I9" i="51"/>
  <c r="G9" i="51"/>
  <c r="J55" i="41"/>
  <c r="J56" i="41"/>
  <c r="J57" i="41"/>
  <c r="J58" i="41"/>
  <c r="J59" i="41"/>
  <c r="J60" i="41"/>
  <c r="J61" i="41"/>
  <c r="J62" i="41"/>
  <c r="J97" i="41"/>
  <c r="J63" i="41"/>
  <c r="J64" i="41"/>
  <c r="J65" i="41"/>
  <c r="J66" i="41"/>
  <c r="J3" i="41"/>
  <c r="J4" i="41"/>
  <c r="J5" i="41"/>
  <c r="J6" i="41"/>
  <c r="J41" i="41"/>
  <c r="J7" i="41"/>
  <c r="J8" i="41"/>
  <c r="J9" i="41"/>
  <c r="J10" i="41"/>
  <c r="J11" i="41"/>
  <c r="J45" i="41"/>
  <c r="J12" i="41"/>
  <c r="J13" i="41"/>
  <c r="J14" i="41"/>
  <c r="D9" i="51"/>
  <c r="D4" i="51"/>
  <c r="D3" i="51"/>
  <c r="I196" i="41"/>
  <c r="J11" i="50"/>
  <c r="I11" i="50"/>
  <c r="G11" i="50"/>
  <c r="I119" i="41"/>
  <c r="J9" i="50"/>
  <c r="I9" i="50"/>
  <c r="G9" i="50"/>
  <c r="I55" i="41"/>
  <c r="I56" i="41"/>
  <c r="I57" i="41"/>
  <c r="I58" i="41"/>
  <c r="I59" i="41"/>
  <c r="I60" i="41"/>
  <c r="I61" i="41"/>
  <c r="I96" i="41"/>
  <c r="I62" i="41"/>
  <c r="I63" i="41"/>
  <c r="I64" i="41"/>
  <c r="I65" i="41"/>
  <c r="I66" i="41"/>
  <c r="I3" i="41"/>
  <c r="I4" i="41"/>
  <c r="I5" i="41"/>
  <c r="I40" i="41"/>
  <c r="I6" i="41"/>
  <c r="I7" i="41"/>
  <c r="I8" i="41"/>
  <c r="I9" i="41"/>
  <c r="I10" i="41"/>
  <c r="I44" i="41"/>
  <c r="I11" i="41"/>
  <c r="I12" i="41"/>
  <c r="I13" i="41"/>
  <c r="I14" i="41"/>
  <c r="D9" i="50"/>
  <c r="D8" i="50"/>
  <c r="D6" i="50"/>
  <c r="D4" i="50"/>
  <c r="D3" i="50"/>
  <c r="H196" i="41"/>
  <c r="J11" i="49"/>
  <c r="I11" i="49"/>
  <c r="G11" i="49"/>
  <c r="H119" i="41"/>
  <c r="J9" i="49"/>
  <c r="I9" i="49"/>
  <c r="G9" i="49"/>
  <c r="H55" i="41"/>
  <c r="H56" i="41"/>
  <c r="H57" i="41"/>
  <c r="H58" i="41"/>
  <c r="H93" i="41"/>
  <c r="H59" i="41"/>
  <c r="H60" i="41"/>
  <c r="H61" i="41"/>
  <c r="H62" i="41"/>
  <c r="H63" i="41"/>
  <c r="H64" i="41"/>
  <c r="H65" i="41"/>
  <c r="H66" i="41"/>
  <c r="H3" i="41"/>
  <c r="H4" i="41"/>
  <c r="H5" i="41"/>
  <c r="H6" i="41"/>
  <c r="H7" i="41"/>
  <c r="H41" i="41"/>
  <c r="H8" i="41"/>
  <c r="H9" i="41"/>
  <c r="H10" i="41"/>
  <c r="H45" i="41"/>
  <c r="H11" i="41"/>
  <c r="H12" i="41"/>
  <c r="H13" i="41"/>
  <c r="H14" i="41"/>
  <c r="D9" i="49"/>
  <c r="D8" i="49"/>
  <c r="D6" i="49"/>
  <c r="D4" i="49"/>
  <c r="D3" i="49"/>
  <c r="G196" i="41"/>
  <c r="J11" i="48"/>
  <c r="I11" i="48"/>
  <c r="G11" i="48"/>
  <c r="G119" i="41"/>
  <c r="J9" i="48"/>
  <c r="I9" i="48"/>
  <c r="G9" i="48"/>
  <c r="G55" i="41"/>
  <c r="G90" i="41"/>
  <c r="G56" i="41"/>
  <c r="G57" i="41"/>
  <c r="G58" i="41"/>
  <c r="G59" i="41"/>
  <c r="G60" i="41"/>
  <c r="G61" i="41"/>
  <c r="G62" i="41"/>
  <c r="G63" i="41"/>
  <c r="G98" i="41"/>
  <c r="G64" i="41"/>
  <c r="G65" i="41"/>
  <c r="G66" i="41"/>
  <c r="G3" i="41"/>
  <c r="G4" i="41"/>
  <c r="G38" i="41"/>
  <c r="G5" i="41"/>
  <c r="G6" i="41"/>
  <c r="G7" i="41"/>
  <c r="G42" i="41"/>
  <c r="G8" i="41"/>
  <c r="G9" i="41"/>
  <c r="G10" i="41"/>
  <c r="G11" i="41"/>
  <c r="G12" i="41"/>
  <c r="G46" i="41"/>
  <c r="G13" i="41"/>
  <c r="G14" i="41"/>
  <c r="D9" i="48"/>
  <c r="D8" i="48"/>
  <c r="D6" i="48"/>
  <c r="D4" i="48"/>
  <c r="D3" i="48"/>
  <c r="F196" i="41"/>
  <c r="F207" i="41"/>
  <c r="I11" i="47"/>
  <c r="G11" i="47"/>
  <c r="F119" i="41"/>
  <c r="J9" i="47"/>
  <c r="I9" i="47"/>
  <c r="G9" i="47"/>
  <c r="F55" i="41"/>
  <c r="F56" i="41"/>
  <c r="F57" i="41"/>
  <c r="F58" i="41"/>
  <c r="F59" i="41"/>
  <c r="F60" i="41"/>
  <c r="F61" i="41"/>
  <c r="F62" i="41"/>
  <c r="F63" i="41"/>
  <c r="F64" i="41"/>
  <c r="F65" i="41"/>
  <c r="F66" i="41"/>
  <c r="F3" i="41"/>
  <c r="F4" i="41"/>
  <c r="F39" i="41"/>
  <c r="F5" i="41"/>
  <c r="F6" i="41"/>
  <c r="F7" i="41"/>
  <c r="F8" i="41"/>
  <c r="F9" i="41"/>
  <c r="F10" i="41"/>
  <c r="F11" i="41"/>
  <c r="F12" i="41"/>
  <c r="F47" i="41"/>
  <c r="F13" i="41"/>
  <c r="F14" i="41"/>
  <c r="D9" i="47"/>
  <c r="D6" i="47"/>
  <c r="D4" i="47"/>
  <c r="D4" i="45"/>
  <c r="D3" i="47"/>
  <c r="D3" i="46"/>
  <c r="D4" i="46"/>
  <c r="E196" i="41"/>
  <c r="I11" i="46"/>
  <c r="E119" i="41"/>
  <c r="E129" i="41"/>
  <c r="I9" i="46"/>
  <c r="E55" i="41"/>
  <c r="E56" i="41"/>
  <c r="E57" i="41"/>
  <c r="E58" i="41"/>
  <c r="E59" i="41"/>
  <c r="E60" i="41"/>
  <c r="E61" i="41"/>
  <c r="E62" i="41"/>
  <c r="E63" i="41"/>
  <c r="E64" i="41"/>
  <c r="E65" i="41"/>
  <c r="E66" i="41"/>
  <c r="E3" i="41"/>
  <c r="E4" i="41"/>
  <c r="E5" i="41"/>
  <c r="E6" i="41"/>
  <c r="E7" i="41"/>
  <c r="E8" i="41"/>
  <c r="E9" i="41"/>
  <c r="E10" i="41"/>
  <c r="E11" i="41"/>
  <c r="E12" i="41"/>
  <c r="E13" i="41"/>
  <c r="E14" i="41"/>
  <c r="D9" i="43"/>
  <c r="D8" i="43"/>
  <c r="D9" i="44"/>
  <c r="D8" i="44"/>
  <c r="D8" i="45"/>
  <c r="G11" i="46"/>
  <c r="G9" i="46"/>
  <c r="D8" i="46"/>
  <c r="D9" i="45"/>
  <c r="D9" i="46"/>
  <c r="D6" i="46"/>
  <c r="D196" i="41"/>
  <c r="J11" i="45"/>
  <c r="D119" i="41"/>
  <c r="J9" i="45"/>
  <c r="D55" i="41"/>
  <c r="D56" i="41"/>
  <c r="D57" i="41"/>
  <c r="D58" i="41"/>
  <c r="D59" i="41"/>
  <c r="D93" i="41"/>
  <c r="D60" i="41"/>
  <c r="D61" i="41"/>
  <c r="D62" i="41"/>
  <c r="D63" i="41"/>
  <c r="D64" i="41"/>
  <c r="D65" i="41"/>
  <c r="D66" i="41"/>
  <c r="D3" i="41"/>
  <c r="D4" i="41"/>
  <c r="D5" i="41"/>
  <c r="D6" i="41"/>
  <c r="D7" i="41"/>
  <c r="D8" i="41"/>
  <c r="D9" i="41"/>
  <c r="D44" i="41"/>
  <c r="D10" i="41"/>
  <c r="D11" i="41"/>
  <c r="D12" i="41"/>
  <c r="D47" i="41"/>
  <c r="D13" i="41"/>
  <c r="D14" i="41"/>
  <c r="I11" i="45"/>
  <c r="I9" i="45"/>
  <c r="G11" i="45"/>
  <c r="G9" i="45"/>
  <c r="D6" i="45"/>
  <c r="D3" i="45"/>
  <c r="C196" i="41"/>
  <c r="J11" i="44"/>
  <c r="C119" i="41"/>
  <c r="J9" i="44"/>
  <c r="C55" i="41"/>
  <c r="C56" i="41"/>
  <c r="C57" i="41"/>
  <c r="C91" i="41"/>
  <c r="C58" i="41"/>
  <c r="C59" i="41"/>
  <c r="C60" i="41"/>
  <c r="C95" i="41"/>
  <c r="C61" i="41"/>
  <c r="C62" i="41"/>
  <c r="C63" i="41"/>
  <c r="C64" i="41"/>
  <c r="C65" i="41"/>
  <c r="C99" i="41"/>
  <c r="C66" i="41"/>
  <c r="C3" i="41"/>
  <c r="C4" i="41"/>
  <c r="C39" i="41"/>
  <c r="C5" i="41"/>
  <c r="C6" i="41"/>
  <c r="C7" i="41"/>
  <c r="C8" i="41"/>
  <c r="C9" i="41"/>
  <c r="C43" i="41"/>
  <c r="C10" i="41"/>
  <c r="C11" i="41"/>
  <c r="C45" i="41"/>
  <c r="C12" i="41"/>
  <c r="C47" i="41"/>
  <c r="C13" i="41"/>
  <c r="C14" i="41"/>
  <c r="I11" i="44"/>
  <c r="I9" i="44"/>
  <c r="G11" i="44"/>
  <c r="G9" i="44"/>
  <c r="D10" i="44"/>
  <c r="D7" i="44"/>
  <c r="D6" i="44"/>
  <c r="G5" i="39"/>
  <c r="D5" i="44"/>
  <c r="D4" i="44"/>
  <c r="D3" i="44"/>
  <c r="D3" i="43"/>
  <c r="O29" i="39"/>
  <c r="N29" i="39"/>
  <c r="M29" i="39"/>
  <c r="L29" i="39"/>
  <c r="K29" i="39"/>
  <c r="J29" i="39"/>
  <c r="I29" i="39"/>
  <c r="H29" i="39"/>
  <c r="G29" i="39"/>
  <c r="F29" i="39"/>
  <c r="E29" i="39"/>
  <c r="D29" i="39"/>
  <c r="D10" i="43"/>
  <c r="B196" i="41"/>
  <c r="J11" i="43"/>
  <c r="B119" i="41"/>
  <c r="J9" i="43"/>
  <c r="B55" i="41"/>
  <c r="B56" i="41"/>
  <c r="B57" i="41"/>
  <c r="B91" i="41"/>
  <c r="B58" i="41"/>
  <c r="B93" i="41"/>
  <c r="B59" i="41"/>
  <c r="B60" i="41"/>
  <c r="B94" i="41"/>
  <c r="B61" i="41"/>
  <c r="B62" i="41"/>
  <c r="B96" i="41"/>
  <c r="B63" i="41"/>
  <c r="B97" i="41"/>
  <c r="B64" i="41"/>
  <c r="B65" i="41"/>
  <c r="B99" i="41"/>
  <c r="B66" i="41"/>
  <c r="I11" i="43"/>
  <c r="I9" i="43"/>
  <c r="G11" i="43"/>
  <c r="G9" i="43"/>
  <c r="D7" i="43"/>
  <c r="D6" i="43"/>
  <c r="O56" i="39"/>
  <c r="N56" i="39"/>
  <c r="M56" i="39"/>
  <c r="L56" i="39"/>
  <c r="K56" i="39"/>
  <c r="J56" i="39"/>
  <c r="I56" i="39"/>
  <c r="H56" i="39"/>
  <c r="G56" i="39"/>
  <c r="F56" i="39"/>
  <c r="E56" i="39"/>
  <c r="D56" i="39"/>
  <c r="O55" i="39"/>
  <c r="N55" i="39"/>
  <c r="M55" i="39"/>
  <c r="L55" i="39"/>
  <c r="K55" i="39"/>
  <c r="J55" i="39"/>
  <c r="I55" i="39"/>
  <c r="H55" i="39"/>
  <c r="G55" i="39"/>
  <c r="P55" i="39"/>
  <c r="F55" i="39"/>
  <c r="E55" i="39"/>
  <c r="D55" i="39"/>
  <c r="O54" i="39"/>
  <c r="N54" i="39"/>
  <c r="M54" i="39"/>
  <c r="L54" i="39"/>
  <c r="K54" i="39"/>
  <c r="J54" i="39"/>
  <c r="I54" i="39"/>
  <c r="H54" i="39"/>
  <c r="G54" i="39"/>
  <c r="P54" i="39"/>
  <c r="F54" i="39"/>
  <c r="E54" i="39"/>
  <c r="D54" i="39"/>
  <c r="O53" i="39"/>
  <c r="N53" i="39"/>
  <c r="M53" i="39"/>
  <c r="L53" i="39"/>
  <c r="K53" i="39"/>
  <c r="J53" i="39"/>
  <c r="I53" i="39"/>
  <c r="H53" i="39"/>
  <c r="G53" i="39"/>
  <c r="P53" i="39"/>
  <c r="F53" i="39"/>
  <c r="E53" i="39"/>
  <c r="D53" i="39"/>
  <c r="O52" i="39"/>
  <c r="N52" i="39"/>
  <c r="M52" i="39"/>
  <c r="L52" i="39"/>
  <c r="K52" i="39"/>
  <c r="J52" i="39"/>
  <c r="I52" i="39"/>
  <c r="H52" i="39"/>
  <c r="G52" i="39"/>
  <c r="F52" i="39"/>
  <c r="E52" i="39"/>
  <c r="D52" i="39"/>
  <c r="O51" i="39"/>
  <c r="N51" i="39"/>
  <c r="M51" i="39"/>
  <c r="L51" i="39"/>
  <c r="K51" i="39"/>
  <c r="J51" i="39"/>
  <c r="I51" i="39"/>
  <c r="H51" i="39"/>
  <c r="G51" i="39"/>
  <c r="P51" i="39"/>
  <c r="F51" i="39"/>
  <c r="E51" i="39"/>
  <c r="D51" i="39"/>
  <c r="O50" i="39"/>
  <c r="N50" i="39"/>
  <c r="M50" i="39"/>
  <c r="L50" i="39"/>
  <c r="K50" i="39"/>
  <c r="J50" i="39"/>
  <c r="I50" i="39"/>
  <c r="H50" i="39"/>
  <c r="G50" i="39"/>
  <c r="P50" i="39"/>
  <c r="F50" i="39"/>
  <c r="E50" i="39"/>
  <c r="D50" i="39"/>
  <c r="O49" i="39"/>
  <c r="N49" i="39"/>
  <c r="M49" i="39"/>
  <c r="L49" i="39"/>
  <c r="K49" i="39"/>
  <c r="J49" i="39"/>
  <c r="I49" i="39"/>
  <c r="H49" i="39"/>
  <c r="G49" i="39"/>
  <c r="P49" i="39"/>
  <c r="F49" i="39"/>
  <c r="E49" i="39"/>
  <c r="D49" i="39"/>
  <c r="O48" i="39"/>
  <c r="N48" i="39"/>
  <c r="M48" i="39"/>
  <c r="L48" i="39"/>
  <c r="K48" i="39"/>
  <c r="J48" i="39"/>
  <c r="I48" i="39"/>
  <c r="H48" i="39"/>
  <c r="G48" i="39"/>
  <c r="F48" i="39"/>
  <c r="E48" i="39"/>
  <c r="D48" i="39"/>
  <c r="P56" i="39"/>
  <c r="P52" i="39"/>
  <c r="P4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P27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P26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P25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P24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P23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P22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P21" i="39"/>
  <c r="P68" i="39"/>
  <c r="P42" i="39"/>
  <c r="P41" i="39"/>
  <c r="P40" i="39"/>
  <c r="P39" i="39"/>
  <c r="P38" i="39"/>
  <c r="P37" i="39"/>
  <c r="P36" i="39"/>
  <c r="P34" i="39"/>
  <c r="P69" i="39"/>
  <c r="P67" i="39"/>
  <c r="P66" i="39"/>
  <c r="P65" i="39"/>
  <c r="P64" i="39"/>
  <c r="P63" i="39"/>
  <c r="P62" i="39"/>
  <c r="P61" i="39"/>
  <c r="P35" i="39"/>
  <c r="B3" i="41"/>
  <c r="B4" i="41"/>
  <c r="B5" i="41"/>
  <c r="B6" i="41"/>
  <c r="B7" i="41"/>
  <c r="B8" i="41"/>
  <c r="B43" i="41"/>
  <c r="B9" i="41"/>
  <c r="B10" i="41"/>
  <c r="B11" i="41"/>
  <c r="B46" i="41"/>
  <c r="B12" i="41"/>
  <c r="B13" i="41"/>
  <c r="B47" i="41"/>
  <c r="B14" i="41"/>
  <c r="M229" i="41"/>
  <c r="L229" i="41"/>
  <c r="K229" i="41"/>
  <c r="I229" i="41"/>
  <c r="H229" i="41"/>
  <c r="G229" i="41"/>
  <c r="F229" i="41"/>
  <c r="E229" i="41"/>
  <c r="D229" i="41"/>
  <c r="C229" i="41"/>
  <c r="B229" i="41"/>
  <c r="M228" i="41"/>
  <c r="L228" i="41"/>
  <c r="K228" i="41"/>
  <c r="I228" i="41"/>
  <c r="H228" i="41"/>
  <c r="G228" i="41"/>
  <c r="F228" i="41"/>
  <c r="E228" i="41"/>
  <c r="D228" i="41"/>
  <c r="C228" i="41"/>
  <c r="B228" i="41"/>
  <c r="M227" i="41"/>
  <c r="L227" i="41"/>
  <c r="K227" i="41"/>
  <c r="I227" i="41"/>
  <c r="H227" i="41"/>
  <c r="G227" i="41"/>
  <c r="F227" i="41"/>
  <c r="E227" i="41"/>
  <c r="D227" i="41"/>
  <c r="C227" i="41"/>
  <c r="B227" i="41"/>
  <c r="M226" i="41"/>
  <c r="L226" i="41"/>
  <c r="K226" i="41"/>
  <c r="I226" i="41"/>
  <c r="H226" i="41"/>
  <c r="G226" i="41"/>
  <c r="F226" i="41"/>
  <c r="E226" i="41"/>
  <c r="D226" i="41"/>
  <c r="C226" i="41"/>
  <c r="B226" i="41"/>
  <c r="M225" i="41"/>
  <c r="L225" i="41"/>
  <c r="K225" i="41"/>
  <c r="I225" i="41"/>
  <c r="H225" i="41"/>
  <c r="G225" i="41"/>
  <c r="F225" i="41"/>
  <c r="E225" i="41"/>
  <c r="D225" i="41"/>
  <c r="C225" i="41"/>
  <c r="B225" i="41"/>
  <c r="M224" i="41"/>
  <c r="L224" i="41"/>
  <c r="K224" i="41"/>
  <c r="I224" i="41"/>
  <c r="H224" i="41"/>
  <c r="G224" i="41"/>
  <c r="F224" i="41"/>
  <c r="E224" i="41"/>
  <c r="D224" i="41"/>
  <c r="C224" i="41"/>
  <c r="B224" i="41"/>
  <c r="M223" i="41"/>
  <c r="L223" i="41"/>
  <c r="K223" i="41"/>
  <c r="I223" i="41"/>
  <c r="H223" i="41"/>
  <c r="G223" i="41"/>
  <c r="F223" i="41"/>
  <c r="E223" i="41"/>
  <c r="D223" i="41"/>
  <c r="C223" i="41"/>
  <c r="B223" i="41"/>
  <c r="M222" i="41"/>
  <c r="L222" i="41"/>
  <c r="K222" i="41"/>
  <c r="I222" i="41"/>
  <c r="H222" i="41"/>
  <c r="G222" i="41"/>
  <c r="F222" i="41"/>
  <c r="E222" i="41"/>
  <c r="D222" i="41"/>
  <c r="C222" i="41"/>
  <c r="B222" i="41"/>
  <c r="M221" i="41"/>
  <c r="L221" i="41"/>
  <c r="K221" i="41"/>
  <c r="I221" i="41"/>
  <c r="H221" i="41"/>
  <c r="G221" i="41"/>
  <c r="F221" i="41"/>
  <c r="E221" i="41"/>
  <c r="D221" i="41"/>
  <c r="C221" i="41"/>
  <c r="B221" i="41"/>
  <c r="M220" i="41"/>
  <c r="L220" i="41"/>
  <c r="K220" i="41"/>
  <c r="I220" i="41"/>
  <c r="H220" i="41"/>
  <c r="G220" i="41"/>
  <c r="F220" i="41"/>
  <c r="E220" i="41"/>
  <c r="D220" i="41"/>
  <c r="C220" i="41"/>
  <c r="B220" i="41"/>
  <c r="M219" i="41"/>
  <c r="L219" i="41"/>
  <c r="K219" i="41"/>
  <c r="I219" i="41"/>
  <c r="H219" i="41"/>
  <c r="G219" i="41"/>
  <c r="F219" i="41"/>
  <c r="E219" i="41"/>
  <c r="D219" i="41"/>
  <c r="C219" i="41"/>
  <c r="B219" i="41"/>
  <c r="L196" i="41"/>
  <c r="J11" i="53"/>
  <c r="G212" i="41"/>
  <c r="C212" i="41"/>
  <c r="K211" i="41"/>
  <c r="B211" i="41"/>
  <c r="I210" i="41"/>
  <c r="G208" i="41"/>
  <c r="C208" i="41"/>
  <c r="K207" i="41"/>
  <c r="B207" i="41"/>
  <c r="I206" i="41"/>
  <c r="G204" i="41"/>
  <c r="C204" i="41"/>
  <c r="K203" i="41"/>
  <c r="F203" i="41"/>
  <c r="B203" i="41"/>
  <c r="I202" i="41"/>
  <c r="G202" i="41"/>
  <c r="C202" i="41"/>
  <c r="M196" i="41"/>
  <c r="M210" i="41"/>
  <c r="K212" i="41"/>
  <c r="I211" i="41"/>
  <c r="G213" i="41"/>
  <c r="D210" i="41"/>
  <c r="C213" i="41"/>
  <c r="B202" i="41"/>
  <c r="K202" i="41"/>
  <c r="C203" i="41"/>
  <c r="G203" i="41"/>
  <c r="D204" i="41"/>
  <c r="I205" i="41"/>
  <c r="B206" i="41"/>
  <c r="K206" i="41"/>
  <c r="C207" i="41"/>
  <c r="G207" i="41"/>
  <c r="D208" i="41"/>
  <c r="I209" i="41"/>
  <c r="B210" i="41"/>
  <c r="K210" i="41"/>
  <c r="C211" i="41"/>
  <c r="G211" i="41"/>
  <c r="D212" i="41"/>
  <c r="I213" i="41"/>
  <c r="D205" i="41"/>
  <c r="D209" i="41"/>
  <c r="I204" i="41"/>
  <c r="B205" i="41"/>
  <c r="F205" i="41"/>
  <c r="K205" i="41"/>
  <c r="C206" i="41"/>
  <c r="G206" i="41"/>
  <c r="D207" i="41"/>
  <c r="I208" i="41"/>
  <c r="B209" i="41"/>
  <c r="K209" i="41"/>
  <c r="C210" i="41"/>
  <c r="G210" i="41"/>
  <c r="D211" i="41"/>
  <c r="I212" i="41"/>
  <c r="B213" i="41"/>
  <c r="K213" i="41"/>
  <c r="D213" i="41"/>
  <c r="D203" i="41"/>
  <c r="D202" i="41"/>
  <c r="M202" i="41"/>
  <c r="I203" i="41"/>
  <c r="B204" i="41"/>
  <c r="F204" i="41"/>
  <c r="K204" i="41"/>
  <c r="C205" i="41"/>
  <c r="G205" i="41"/>
  <c r="D206" i="41"/>
  <c r="M206" i="41"/>
  <c r="I207" i="41"/>
  <c r="B208" i="41"/>
  <c r="K208" i="41"/>
  <c r="C209" i="41"/>
  <c r="G209" i="41"/>
  <c r="B212" i="41"/>
  <c r="D10" i="54"/>
  <c r="H16" i="39"/>
  <c r="G4" i="39"/>
  <c r="D5" i="43"/>
  <c r="D4" i="43"/>
  <c r="N164" i="41"/>
  <c r="O164" i="41"/>
  <c r="N162" i="41"/>
  <c r="O162" i="41"/>
  <c r="N161" i="41"/>
  <c r="O161" i="41"/>
  <c r="N160" i="41"/>
  <c r="O160" i="41"/>
  <c r="N159" i="41"/>
  <c r="O159" i="41"/>
  <c r="N158" i="41"/>
  <c r="O158" i="41"/>
  <c r="N157" i="41"/>
  <c r="O157" i="41"/>
  <c r="N163" i="41"/>
  <c r="O163" i="41"/>
  <c r="N16" i="39"/>
  <c r="M16" i="39"/>
  <c r="N120" i="41"/>
  <c r="B149" i="41"/>
  <c r="J143" i="41"/>
  <c r="N121" i="41"/>
  <c r="L118" i="41"/>
  <c r="H118" i="41"/>
  <c r="F142" i="41"/>
  <c r="D118" i="41"/>
  <c r="M66" i="41"/>
  <c r="L66" i="41"/>
  <c r="K66" i="41"/>
  <c r="M65" i="41"/>
  <c r="L65" i="41"/>
  <c r="K65" i="41"/>
  <c r="M64" i="41"/>
  <c r="L64" i="41"/>
  <c r="K64" i="41"/>
  <c r="K99" i="41"/>
  <c r="M63" i="41"/>
  <c r="L63" i="41"/>
  <c r="K63" i="41"/>
  <c r="M62" i="41"/>
  <c r="L62" i="41"/>
  <c r="K62" i="41"/>
  <c r="D97" i="41"/>
  <c r="M61" i="41"/>
  <c r="M96" i="41"/>
  <c r="L61" i="41"/>
  <c r="L95" i="41"/>
  <c r="K61" i="41"/>
  <c r="M60" i="41"/>
  <c r="L60" i="41"/>
  <c r="K60" i="41"/>
  <c r="M59" i="41"/>
  <c r="L59" i="41"/>
  <c r="L94" i="41"/>
  <c r="K59" i="41"/>
  <c r="K94" i="41"/>
  <c r="M58" i="41"/>
  <c r="L58" i="41"/>
  <c r="K58" i="41"/>
  <c r="M57" i="41"/>
  <c r="L57" i="41"/>
  <c r="K57" i="41"/>
  <c r="M56" i="41"/>
  <c r="L56" i="41"/>
  <c r="L91" i="41"/>
  <c r="K56" i="4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N17" i="41"/>
  <c r="L92" i="41"/>
  <c r="L100" i="41"/>
  <c r="F99" i="41"/>
  <c r="L93" i="41"/>
  <c r="F96" i="41"/>
  <c r="L97" i="41"/>
  <c r="H97" i="41"/>
  <c r="F95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18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G118" i="41"/>
  <c r="C143" i="41"/>
  <c r="K143" i="41"/>
  <c r="I145" i="41"/>
  <c r="M145" i="41"/>
  <c r="C147" i="41"/>
  <c r="G147" i="41"/>
  <c r="E149" i="41"/>
  <c r="M149" i="41"/>
  <c r="C151" i="41"/>
  <c r="K119" i="41"/>
  <c r="J9" i="52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/>
  <c r="D96" i="41"/>
  <c r="L98" i="41"/>
  <c r="J90" i="41"/>
  <c r="J98" i="41"/>
  <c r="H90" i="41"/>
  <c r="H94" i="41"/>
  <c r="J93" i="41"/>
  <c r="F91" i="41"/>
  <c r="M92" i="41"/>
  <c r="G91" i="41"/>
  <c r="E93" i="41"/>
  <c r="I97" i="41"/>
  <c r="M97" i="41"/>
  <c r="G99" i="41"/>
  <c r="I90" i="41"/>
  <c r="E94" i="41"/>
  <c r="K96" i="41"/>
  <c r="I98" i="41"/>
  <c r="K100" i="41"/>
  <c r="K90" i="41"/>
  <c r="G94" i="41"/>
  <c r="K95" i="41"/>
  <c r="B98" i="41"/>
  <c r="M14" i="41"/>
  <c r="L14" i="41"/>
  <c r="K14" i="41"/>
  <c r="M13" i="41"/>
  <c r="M48" i="41"/>
  <c r="L13" i="41"/>
  <c r="K13" i="41"/>
  <c r="K48" i="41"/>
  <c r="M12" i="41"/>
  <c r="L12" i="41"/>
  <c r="K12" i="41"/>
  <c r="M11" i="41"/>
  <c r="L11" i="41"/>
  <c r="K11" i="41"/>
  <c r="M10" i="41"/>
  <c r="L10" i="41"/>
  <c r="L45" i="41"/>
  <c r="K10" i="41"/>
  <c r="M9" i="41"/>
  <c r="L9" i="41"/>
  <c r="K9" i="41"/>
  <c r="M8" i="41"/>
  <c r="L8" i="41"/>
  <c r="K8" i="41"/>
  <c r="M7" i="41"/>
  <c r="M42" i="41"/>
  <c r="L7" i="41"/>
  <c r="K7" i="41"/>
  <c r="M6" i="41"/>
  <c r="L6" i="41"/>
  <c r="K6" i="41"/>
  <c r="M5" i="41"/>
  <c r="L5" i="41"/>
  <c r="K5" i="41"/>
  <c r="K40" i="41"/>
  <c r="M4" i="41"/>
  <c r="L4" i="41"/>
  <c r="K4" i="41"/>
  <c r="M3" i="41"/>
  <c r="L3" i="41"/>
  <c r="K3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B40" i="41"/>
  <c r="I48" i="41"/>
  <c r="B41" i="41"/>
  <c r="F41" i="41"/>
  <c r="B48" i="41"/>
  <c r="M44" i="41"/>
  <c r="L39" i="41"/>
  <c r="B136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K135" i="41"/>
  <c r="K131" i="41"/>
  <c r="K127" i="41"/>
  <c r="K136" i="41"/>
  <c r="K125" i="41"/>
  <c r="K133" i="41"/>
  <c r="K129" i="41"/>
  <c r="K134" i="41"/>
  <c r="K130" i="41"/>
  <c r="K126" i="41"/>
  <c r="K132" i="41"/>
  <c r="K128" i="41"/>
  <c r="L43" i="41"/>
  <c r="H136" i="41"/>
  <c r="H132" i="41"/>
  <c r="H128" i="41"/>
  <c r="H125" i="41"/>
  <c r="H134" i="41"/>
  <c r="H130" i="41"/>
  <c r="H126" i="41"/>
  <c r="H135" i="41"/>
  <c r="H131" i="41"/>
  <c r="H127" i="41"/>
  <c r="H133" i="41"/>
  <c r="H129" i="41"/>
  <c r="M136" i="41"/>
  <c r="M132" i="41"/>
  <c r="M128" i="41"/>
  <c r="M131" i="41"/>
  <c r="M134" i="41"/>
  <c r="M130" i="41"/>
  <c r="M126" i="41"/>
  <c r="M133" i="41"/>
  <c r="M129" i="41"/>
  <c r="M125" i="41"/>
  <c r="M135" i="41"/>
  <c r="M127" i="41"/>
  <c r="E133" i="41"/>
  <c r="E125" i="41"/>
  <c r="E126" i="41"/>
  <c r="E135" i="41"/>
  <c r="E131" i="41"/>
  <c r="E127" i="41"/>
  <c r="E136" i="41"/>
  <c r="E128" i="41"/>
  <c r="G135" i="41"/>
  <c r="G131" i="41"/>
  <c r="G127" i="41"/>
  <c r="G136" i="41"/>
  <c r="G132" i="41"/>
  <c r="G128" i="41"/>
  <c r="G133" i="41"/>
  <c r="G129" i="41"/>
  <c r="G134" i="41"/>
  <c r="G130" i="41"/>
  <c r="G126" i="41"/>
  <c r="G125" i="41"/>
  <c r="D39" i="41"/>
  <c r="D136" i="41"/>
  <c r="D132" i="41"/>
  <c r="D128" i="41"/>
  <c r="D133" i="41"/>
  <c r="D129" i="41"/>
  <c r="D134" i="41"/>
  <c r="D130" i="41"/>
  <c r="D126" i="41"/>
  <c r="D135" i="41"/>
  <c r="D131" i="41"/>
  <c r="D127" i="41"/>
  <c r="D125" i="41"/>
  <c r="J134" i="41"/>
  <c r="J130" i="41"/>
  <c r="J126" i="41"/>
  <c r="J135" i="41"/>
  <c r="J131" i="41"/>
  <c r="J127" i="41"/>
  <c r="J136" i="41"/>
  <c r="J132" i="41"/>
  <c r="J128" i="41"/>
  <c r="J133" i="41"/>
  <c r="J129" i="41"/>
  <c r="J125" i="41"/>
  <c r="I135" i="41"/>
  <c r="I126" i="41"/>
  <c r="L38" i="41"/>
  <c r="F40" i="41"/>
  <c r="F43" i="41"/>
  <c r="J43" i="41"/>
  <c r="J44" i="41"/>
  <c r="F48" i="41"/>
  <c r="D41" i="41"/>
  <c r="L46" i="41"/>
  <c r="C40" i="41"/>
  <c r="K41" i="41"/>
  <c r="K42" i="41"/>
  <c r="G44" i="41"/>
  <c r="G45" i="41"/>
  <c r="C48" i="41"/>
  <c r="L41" i="41"/>
  <c r="L42" i="41"/>
  <c r="E38" i="41"/>
  <c r="M38" i="41"/>
  <c r="M39" i="41"/>
  <c r="I42" i="41"/>
  <c r="I43" i="41"/>
  <c r="M43" i="41"/>
  <c r="E46" i="41"/>
  <c r="C46" i="41"/>
  <c r="K46" i="41"/>
  <c r="D40" i="41"/>
  <c r="H40" i="41"/>
  <c r="L40" i="41"/>
  <c r="I41" i="41"/>
  <c r="F42" i="41"/>
  <c r="J42" i="41"/>
  <c r="G43" i="41"/>
  <c r="E45" i="41"/>
  <c r="D48" i="41"/>
  <c r="H48" i="41"/>
  <c r="B38" i="41"/>
  <c r="D10" i="53"/>
  <c r="D10" i="52"/>
  <c r="D10" i="51"/>
  <c r="D10" i="50"/>
  <c r="D10" i="49"/>
  <c r="D10" i="48"/>
  <c r="D10" i="47"/>
  <c r="D10" i="46"/>
  <c r="D10" i="45"/>
  <c r="O16" i="39"/>
  <c r="L16" i="39"/>
  <c r="D7" i="54"/>
  <c r="D7" i="53"/>
  <c r="D7" i="52"/>
  <c r="D7" i="50"/>
  <c r="D7" i="49"/>
  <c r="D7" i="48"/>
  <c r="D7" i="47"/>
  <c r="D7" i="46"/>
  <c r="D7" i="45"/>
  <c r="J16" i="39"/>
  <c r="T16" i="39"/>
  <c r="P16" i="39"/>
  <c r="F16" i="39"/>
  <c r="D16" i="39"/>
  <c r="G15" i="39"/>
  <c r="D5" i="54"/>
  <c r="G14" i="39"/>
  <c r="D5" i="53"/>
  <c r="G13" i="39"/>
  <c r="D5" i="52"/>
  <c r="G12" i="39"/>
  <c r="D5" i="51"/>
  <c r="G11" i="39"/>
  <c r="D5" i="50"/>
  <c r="G10" i="39"/>
  <c r="D5" i="49"/>
  <c r="G9" i="39"/>
  <c r="D5" i="48"/>
  <c r="G8" i="39"/>
  <c r="D5" i="47"/>
  <c r="G7" i="39"/>
  <c r="D5" i="46"/>
  <c r="G6" i="39"/>
  <c r="D5" i="45"/>
  <c r="T7" i="39"/>
  <c r="C10" i="59"/>
  <c r="T17" i="39"/>
  <c r="C7" i="48"/>
  <c r="C7" i="49"/>
  <c r="C7" i="53"/>
  <c r="C7" i="43"/>
  <c r="C7" i="45"/>
  <c r="C7" i="52"/>
  <c r="C7" i="54"/>
  <c r="C7" i="46"/>
  <c r="C7" i="44"/>
  <c r="C7" i="51"/>
  <c r="C7" i="47"/>
  <c r="C7" i="50"/>
  <c r="K16" i="39"/>
  <c r="T6" i="39"/>
  <c r="C9" i="59"/>
  <c r="F135" i="41"/>
  <c r="F126" i="41"/>
  <c r="B214" i="41"/>
  <c r="M209" i="41"/>
  <c r="M205" i="41"/>
  <c r="M207" i="41"/>
  <c r="M212" i="41"/>
  <c r="M211" i="41"/>
  <c r="L99" i="41"/>
  <c r="B45" i="41"/>
  <c r="C94" i="41"/>
  <c r="D46" i="41"/>
  <c r="D38" i="41"/>
  <c r="F46" i="41"/>
  <c r="F38" i="41"/>
  <c r="G41" i="41"/>
  <c r="H44" i="41"/>
  <c r="I47" i="41"/>
  <c r="I39" i="41"/>
  <c r="I95" i="41"/>
  <c r="J48" i="41"/>
  <c r="J40" i="41"/>
  <c r="C38" i="41"/>
  <c r="K47" i="41"/>
  <c r="L90" i="41"/>
  <c r="M95" i="41"/>
  <c r="K98" i="41"/>
  <c r="F125" i="41"/>
  <c r="F130" i="41"/>
  <c r="F129" i="41"/>
  <c r="F134" i="41"/>
  <c r="F133" i="41"/>
  <c r="F128" i="41"/>
  <c r="F132" i="41"/>
  <c r="F137" i="41"/>
  <c r="F136" i="41"/>
  <c r="F127" i="41"/>
  <c r="F131" i="41"/>
  <c r="I130" i="41"/>
  <c r="I125" i="41"/>
  <c r="I214" i="41"/>
  <c r="H205" i="41"/>
  <c r="B44" i="41"/>
  <c r="E42" i="41"/>
  <c r="F100" i="41"/>
  <c r="G48" i="41"/>
  <c r="G95" i="41"/>
  <c r="H98" i="41"/>
  <c r="I93" i="41"/>
  <c r="I134" i="41"/>
  <c r="I129" i="41"/>
  <c r="H206" i="41"/>
  <c r="N6" i="41"/>
  <c r="I133" i="41"/>
  <c r="L96" i="41"/>
  <c r="H202" i="41"/>
  <c r="H204" i="41"/>
  <c r="L44" i="41"/>
  <c r="I46" i="41"/>
  <c r="I132" i="41"/>
  <c r="H208" i="41"/>
  <c r="H210" i="41"/>
  <c r="I136" i="41"/>
  <c r="K38" i="41"/>
  <c r="K91" i="41"/>
  <c r="M93" i="41"/>
  <c r="M98" i="41"/>
  <c r="H203" i="41"/>
  <c r="H212" i="41"/>
  <c r="D45" i="41"/>
  <c r="I127" i="41"/>
  <c r="L47" i="41"/>
  <c r="H211" i="41"/>
  <c r="H207" i="41"/>
  <c r="H213" i="41"/>
  <c r="I128" i="41"/>
  <c r="I131" i="41"/>
  <c r="K45" i="41"/>
  <c r="M47" i="41"/>
  <c r="H209" i="41"/>
  <c r="E98" i="41"/>
  <c r="E90" i="41"/>
  <c r="F68" i="41"/>
  <c r="F77" i="41"/>
  <c r="J95" i="41"/>
  <c r="B90" i="41"/>
  <c r="D100" i="41"/>
  <c r="D92" i="41"/>
  <c r="N10" i="41"/>
  <c r="G39" i="41"/>
  <c r="H42" i="41"/>
  <c r="N11" i="41"/>
  <c r="N3" i="41"/>
  <c r="J38" i="41"/>
  <c r="B42" i="41"/>
  <c r="L205" i="41"/>
  <c r="L211" i="41"/>
  <c r="F211" i="41"/>
  <c r="M213" i="41"/>
  <c r="M203" i="41"/>
  <c r="M208" i="41"/>
  <c r="M204" i="41"/>
  <c r="E41" i="41"/>
  <c r="F45" i="41"/>
  <c r="I94" i="41"/>
  <c r="L207" i="41"/>
  <c r="D214" i="41"/>
  <c r="L204" i="41"/>
  <c r="D43" i="41"/>
  <c r="N14" i="41"/>
  <c r="E97" i="41"/>
  <c r="F44" i="41"/>
  <c r="L203" i="41"/>
  <c r="N7" i="41"/>
  <c r="C98" i="41"/>
  <c r="C90" i="41"/>
  <c r="N12" i="41"/>
  <c r="K92" i="41"/>
  <c r="M99" i="41"/>
  <c r="C214" i="41"/>
  <c r="L202" i="41"/>
  <c r="B16" i="41"/>
  <c r="B29" i="41"/>
  <c r="G100" i="41"/>
  <c r="J100" i="41"/>
  <c r="C44" i="41"/>
  <c r="C100" i="41"/>
  <c r="L208" i="41"/>
  <c r="M40" i="41"/>
  <c r="K44" i="41"/>
  <c r="M46" i="41"/>
  <c r="K214" i="41"/>
  <c r="L213" i="41"/>
  <c r="J11" i="54"/>
  <c r="L210" i="41"/>
  <c r="L209" i="41"/>
  <c r="L206" i="41"/>
  <c r="L212" i="41"/>
  <c r="J96" i="41"/>
  <c r="G137" i="41"/>
  <c r="M137" i="41"/>
  <c r="H137" i="41"/>
  <c r="C137" i="41"/>
  <c r="L133" i="41"/>
  <c r="L128" i="41"/>
  <c r="L125" i="41"/>
  <c r="L136" i="41"/>
  <c r="L127" i="41"/>
  <c r="L135" i="41"/>
  <c r="L126" i="41"/>
  <c r="L130" i="41"/>
  <c r="L129" i="41"/>
  <c r="K137" i="41"/>
  <c r="J137" i="41"/>
  <c r="N118" i="41"/>
  <c r="D137" i="41"/>
  <c r="B127" i="41"/>
  <c r="B131" i="41"/>
  <c r="B125" i="41"/>
  <c r="B135" i="41"/>
  <c r="B129" i="41"/>
  <c r="B126" i="41"/>
  <c r="B133" i="41"/>
  <c r="B130" i="41"/>
  <c r="B128" i="41"/>
  <c r="B134" i="41"/>
  <c r="B132" i="41"/>
  <c r="F79" i="41"/>
  <c r="AC67" i="41"/>
  <c r="K97" i="41"/>
  <c r="I67" i="41"/>
  <c r="I7" i="50"/>
  <c r="M100" i="41"/>
  <c r="N65" i="41"/>
  <c r="J94" i="41"/>
  <c r="F81" i="41"/>
  <c r="J67" i="41"/>
  <c r="I7" i="51"/>
  <c r="F92" i="41"/>
  <c r="E67" i="41"/>
  <c r="B95" i="41"/>
  <c r="M94" i="41"/>
  <c r="K43" i="41"/>
  <c r="L15" i="41"/>
  <c r="G5" i="53"/>
  <c r="N13" i="41"/>
  <c r="N5" i="41"/>
  <c r="L16" i="41"/>
  <c r="L30" i="41"/>
  <c r="K16" i="41"/>
  <c r="C42" i="41"/>
  <c r="J39" i="41"/>
  <c r="L48" i="41"/>
  <c r="M45" i="41"/>
  <c r="J47" i="41"/>
  <c r="J46" i="41"/>
  <c r="I45" i="41"/>
  <c r="K39" i="41"/>
  <c r="C41" i="41"/>
  <c r="K15" i="41"/>
  <c r="I5" i="52"/>
  <c r="D42" i="41"/>
  <c r="M16" i="41"/>
  <c r="M24" i="41"/>
  <c r="N9" i="41"/>
  <c r="M15" i="41"/>
  <c r="G5" i="54"/>
  <c r="B39" i="41"/>
  <c r="M41" i="41"/>
  <c r="I38" i="41"/>
  <c r="G47" i="41"/>
  <c r="P28" i="39"/>
  <c r="P29" i="39"/>
  <c r="E130" i="41"/>
  <c r="E134" i="41"/>
  <c r="J9" i="46"/>
  <c r="E132" i="41"/>
  <c r="H43" i="41"/>
  <c r="G16" i="39"/>
  <c r="N8" i="41"/>
  <c r="E44" i="41"/>
  <c r="E43" i="41"/>
  <c r="E210" i="41"/>
  <c r="E206" i="41"/>
  <c r="E211" i="41"/>
  <c r="E205" i="41"/>
  <c r="E212" i="41"/>
  <c r="J11" i="46"/>
  <c r="E202" i="41"/>
  <c r="E213" i="41"/>
  <c r="E204" i="41"/>
  <c r="E203" i="41"/>
  <c r="E209" i="41"/>
  <c r="E208" i="41"/>
  <c r="E207" i="41"/>
  <c r="H100" i="41"/>
  <c r="H99" i="41"/>
  <c r="H96" i="41"/>
  <c r="H95" i="41"/>
  <c r="H92" i="41"/>
  <c r="H68" i="41"/>
  <c r="H67" i="41"/>
  <c r="H91" i="41"/>
  <c r="AC15" i="41"/>
  <c r="E16" i="41"/>
  <c r="E31" i="41"/>
  <c r="E15" i="41"/>
  <c r="G7" i="46"/>
  <c r="I7" i="46"/>
  <c r="J7" i="47"/>
  <c r="F76" i="41"/>
  <c r="F84" i="41"/>
  <c r="F75" i="41"/>
  <c r="F74" i="41"/>
  <c r="F80" i="41"/>
  <c r="F83" i="41"/>
  <c r="F78" i="41"/>
  <c r="F97" i="41"/>
  <c r="F98" i="41"/>
  <c r="F94" i="41"/>
  <c r="N59" i="41"/>
  <c r="F93" i="41"/>
  <c r="F90" i="41"/>
  <c r="F67" i="41"/>
  <c r="H47" i="41"/>
  <c r="H16" i="41"/>
  <c r="H30" i="41"/>
  <c r="H15" i="41"/>
  <c r="H39" i="41"/>
  <c r="H38" i="41"/>
  <c r="N4" i="41"/>
  <c r="J5" i="53"/>
  <c r="L27" i="41"/>
  <c r="L21" i="41"/>
  <c r="E48" i="41"/>
  <c r="E40" i="41"/>
  <c r="E47" i="41"/>
  <c r="E39" i="41"/>
  <c r="H46" i="41"/>
  <c r="F73" i="41"/>
  <c r="G5" i="52"/>
  <c r="G214" i="41"/>
  <c r="C97" i="41"/>
  <c r="C96" i="41"/>
  <c r="N62" i="41"/>
  <c r="C67" i="41"/>
  <c r="C92" i="41"/>
  <c r="C93" i="41"/>
  <c r="G97" i="41"/>
  <c r="G96" i="41"/>
  <c r="G92" i="41"/>
  <c r="G68" i="41"/>
  <c r="G76" i="41"/>
  <c r="G93" i="41"/>
  <c r="I5" i="54"/>
  <c r="F82" i="41"/>
  <c r="N63" i="41"/>
  <c r="N55" i="41"/>
  <c r="D99" i="41"/>
  <c r="N64" i="41"/>
  <c r="D98" i="41"/>
  <c r="D95" i="41"/>
  <c r="D94" i="41"/>
  <c r="N60" i="41"/>
  <c r="D68" i="41"/>
  <c r="D78" i="41"/>
  <c r="D67" i="41"/>
  <c r="D90" i="41"/>
  <c r="N56" i="41"/>
  <c r="D91" i="41"/>
  <c r="G16" i="41"/>
  <c r="G15" i="41"/>
  <c r="G40" i="41"/>
  <c r="L131" i="41"/>
  <c r="L134" i="41"/>
  <c r="L132" i="41"/>
  <c r="L67" i="41"/>
  <c r="L68" i="41"/>
  <c r="M91" i="41"/>
  <c r="M68" i="41"/>
  <c r="J7" i="54"/>
  <c r="M90" i="41"/>
  <c r="M67" i="41"/>
  <c r="K68" i="41"/>
  <c r="K67" i="41"/>
  <c r="K93" i="41"/>
  <c r="B15" i="41"/>
  <c r="F15" i="41"/>
  <c r="G5" i="47"/>
  <c r="F16" i="41"/>
  <c r="G67" i="41"/>
  <c r="N66" i="41"/>
  <c r="B100" i="41"/>
  <c r="B92" i="41"/>
  <c r="N58" i="41"/>
  <c r="C68" i="41"/>
  <c r="D15" i="41"/>
  <c r="G5" i="45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02" i="41"/>
  <c r="F209" i="41"/>
  <c r="F208" i="41"/>
  <c r="J11" i="47"/>
  <c r="F210" i="41"/>
  <c r="F212" i="41"/>
  <c r="F206" i="41"/>
  <c r="F213" i="41"/>
  <c r="I5" i="53"/>
  <c r="B67" i="41"/>
  <c r="C8" i="46"/>
  <c r="C8" i="49"/>
  <c r="C8" i="53"/>
  <c r="C8" i="52"/>
  <c r="C8" i="44"/>
  <c r="C8" i="47"/>
  <c r="C8" i="51"/>
  <c r="C8" i="54"/>
  <c r="C8" i="43"/>
  <c r="C8" i="45"/>
  <c r="C8" i="48"/>
  <c r="C8" i="50"/>
  <c r="H214" i="41"/>
  <c r="G7" i="51"/>
  <c r="B25" i="41"/>
  <c r="I137" i="41"/>
  <c r="M214" i="41"/>
  <c r="B49" i="41"/>
  <c r="L25" i="41"/>
  <c r="J5" i="43"/>
  <c r="B28" i="41"/>
  <c r="B23" i="41"/>
  <c r="B31" i="41"/>
  <c r="B21" i="41"/>
  <c r="B27" i="41"/>
  <c r="M27" i="41"/>
  <c r="G7" i="50"/>
  <c r="B24" i="41"/>
  <c r="L214" i="41"/>
  <c r="B22" i="41"/>
  <c r="B26" i="41"/>
  <c r="B30" i="41"/>
  <c r="B32" i="41"/>
  <c r="M84" i="41"/>
  <c r="G80" i="41"/>
  <c r="E137" i="41"/>
  <c r="L137" i="41"/>
  <c r="B137" i="41"/>
  <c r="D74" i="41"/>
  <c r="J5" i="54"/>
  <c r="M23" i="41"/>
  <c r="M22" i="41"/>
  <c r="M82" i="41"/>
  <c r="M21" i="41"/>
  <c r="M75" i="41"/>
  <c r="M30" i="41"/>
  <c r="M73" i="41"/>
  <c r="M78" i="41"/>
  <c r="M81" i="41"/>
  <c r="M80" i="41"/>
  <c r="M74" i="41"/>
  <c r="M76" i="41"/>
  <c r="M32" i="41"/>
  <c r="M77" i="41"/>
  <c r="M31" i="41"/>
  <c r="M28" i="41"/>
  <c r="M26" i="41"/>
  <c r="M83" i="41"/>
  <c r="M25" i="41"/>
  <c r="M79" i="41"/>
  <c r="M29" i="41"/>
  <c r="J5" i="52"/>
  <c r="K32" i="41"/>
  <c r="K26" i="41"/>
  <c r="K30" i="41"/>
  <c r="K28" i="41"/>
  <c r="K24" i="41"/>
  <c r="K29" i="41"/>
  <c r="K25" i="41"/>
  <c r="K21" i="41"/>
  <c r="K31" i="41"/>
  <c r="K23" i="41"/>
  <c r="K22" i="41"/>
  <c r="L24" i="41"/>
  <c r="L22" i="41"/>
  <c r="L29" i="41"/>
  <c r="L31" i="41"/>
  <c r="L26" i="41"/>
  <c r="L28" i="41"/>
  <c r="L23" i="41"/>
  <c r="K27" i="41"/>
  <c r="L32" i="41"/>
  <c r="J7" i="50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0" i="41"/>
  <c r="F32" i="41"/>
  <c r="F26" i="41"/>
  <c r="F23" i="41"/>
  <c r="G7" i="52"/>
  <c r="I7" i="52"/>
  <c r="G7" i="45"/>
  <c r="I7" i="45"/>
  <c r="J5" i="46"/>
  <c r="E30" i="41"/>
  <c r="E24" i="41"/>
  <c r="E28" i="41"/>
  <c r="E32" i="41"/>
  <c r="E22" i="41"/>
  <c r="E27" i="41"/>
  <c r="E25" i="41"/>
  <c r="E23" i="41"/>
  <c r="E29" i="41"/>
  <c r="E26" i="41"/>
  <c r="E21" i="41"/>
  <c r="E214" i="41"/>
  <c r="F214" i="41"/>
  <c r="J7" i="43"/>
  <c r="B75" i="41"/>
  <c r="B78" i="41"/>
  <c r="B74" i="41"/>
  <c r="B83" i="41"/>
  <c r="B76" i="41"/>
  <c r="B79" i="41"/>
  <c r="B77" i="41"/>
  <c r="B73" i="4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F85" i="41"/>
  <c r="G5" i="49"/>
  <c r="I5" i="49"/>
  <c r="I7" i="47"/>
  <c r="G7" i="47"/>
  <c r="I7" i="49"/>
  <c r="G7" i="49"/>
  <c r="B33" i="41"/>
  <c r="M85" i="41"/>
  <c r="M33" i="41"/>
  <c r="L33" i="41"/>
  <c r="B85" i="41"/>
  <c r="D85" i="41"/>
  <c r="F33" i="41"/>
  <c r="I33" i="41"/>
  <c r="K33" i="41"/>
  <c r="J33" i="4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<sst xmlns="http://schemas.openxmlformats.org/spreadsheetml/2006/main" count="951" uniqueCount="159">
  <si>
    <t>Unique Data Sets</t>
    <phoneticPr fontId="0" type="noConversion"/>
  </si>
  <si>
    <t>Distinct Users of EOSDIS Data and Services</t>
  </si>
  <si>
    <t xml:space="preserve">Web Site Visits </t>
    <phoneticPr fontId="0" type="noConversion"/>
  </si>
  <si>
    <t>Average Archive Growth</t>
    <phoneticPr fontId="0" type="noConversion"/>
  </si>
  <si>
    <t>Total Archive Volume</t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</si>
  <si>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</si>
  <si>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</si>
  <si>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</si>
  <si>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</si>
  <si>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</si>
  <si>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</si>
  <si>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</si>
  <si>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MODAPS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</si>
  <si>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</si>
  <si>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</si>
  <si>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</si>
  <si>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</si>
  <si>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</si>
  <si>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</si>
  <si>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</si>
  <si>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</si>
  <si>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Month</t>
  </si>
  <si>
    <t>Distinct Web Visitor (1 min+)</t>
  </si>
  <si>
    <t>Distinct Users</t>
  </si>
  <si>
    <t>OB.DAAC</t>
  </si>
  <si>
    <t>User</t>
  </si>
  <si>
    <t>Unique Data set</t>
  </si>
  <si>
    <t>Data users Only</t>
  </si>
  <si>
    <t>webvisit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</si>
  <si>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</si>
  <si>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</si>
  <si>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</si>
  <si>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</si>
  <si>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</si>
  <si>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</si>
  <si>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</si>
  <si>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</si>
  <si>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</si>
  <si>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</si>
  <si>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</si>
  <si>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</si>
  <si>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Volume distributed</t>
  </si>
  <si>
    <t>Vol (GB)</t>
  </si>
  <si>
    <t>Number of Users</t>
  </si>
  <si>
    <t>DAAC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</si>
  <si>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</si>
  <si>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</si>
  <si>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</si>
  <si>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</si>
  <si>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</si>
  <si>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</si>
  <si>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</si>
  <si>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</si>
  <si>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</si>
  <si>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</si>
  <si>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</si>
  <si>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</si>
  <si>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</si>
  <si>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</si>
  <si>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</si>
  <si>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</si>
  <si>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</si>
  <si>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</si>
  <si>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</si>
  <si>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</si>
  <si>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</si>
  <si>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</si>
  <si>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FY07</t>
  </si>
  <si>
    <t>Fiscal year</t>
  </si>
  <si>
    <t># of Web Visits, Views, and Visitors by Year</t>
  </si>
  <si>
    <t>Volume (TB)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</si>
  <si>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</si>
  <si>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</si>
  <si>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</si>
  <si>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</si>
  <si>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</si>
  <si>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</si>
  <si>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Not Available</t>
  </si>
  <si>
    <t>Unique Data Sets</t>
    <phoneticPr fontId="0" type="noConversion"/>
  </si>
  <si>
    <t xml:space="preserve">Web Site Visits </t>
    <phoneticPr fontId="0" type="noConversion"/>
  </si>
  <si>
    <t>Average Archive Growth</t>
    <phoneticPr fontId="0" type="noConversion"/>
  </si>
  <si>
    <t>End User Average Distribution Volume</t>
    <phoneticPr fontId="0" type="noConversion"/>
  </si>
  <si>
    <t>If you have any questions or comments, please contact Jeanne Behnke at (301) 614-5326 or jeanne.behnke@nasa.gov.</t>
  </si>
  <si>
    <t>Number of Files distributed (million)</t>
  </si>
  <si>
    <t>This worksheet contains tables of metrics data from each DAAC for fiscal years FY07 to the present. Data includes key metrics and distribution data (files, volume, number of users).</t>
  </si>
  <si>
    <t>Total Archive Vol (TB)</t>
  </si>
  <si>
    <t>2016-09</t>
  </si>
  <si>
    <t>FY16</t>
  </si>
  <si>
    <t>Fy15 Total</t>
  </si>
  <si>
    <t>LARC ANGE</t>
  </si>
  <si>
    <t>LARC ECS</t>
  </si>
  <si>
    <t>LARC ORDERS</t>
  </si>
  <si>
    <t>LARC SVC</t>
  </si>
  <si>
    <t>LPDAAC
DEM</t>
  </si>
  <si>
    <t>LPDAAC
LTA</t>
  </si>
  <si>
    <t>LPDAAC
MRTWEB</t>
  </si>
  <si>
    <t>NSIDC
SRCHLT</t>
  </si>
  <si>
    <t>NSIDCV0</t>
  </si>
  <si>
    <t>PODAACDS</t>
  </si>
  <si>
    <t>Fy16 total</t>
  </si>
  <si>
    <t>(from Web-Visitors Tab in annual report</t>
  </si>
  <si>
    <t>(from Web-Visitors Tab in annual report, not the sum of monthly web visitors)</t>
  </si>
  <si>
    <t>LANCE</t>
  </si>
  <si>
    <t xml:space="preserve"> </t>
  </si>
  <si>
    <t>Archive Volume (TB)</t>
  </si>
  <si>
    <t>one week</t>
  </si>
  <si>
    <t>yearly Total</t>
  </si>
  <si>
    <t>This worksheet contains tables of metrics data for LANCE for fiscal years FY10 to the present. Data includes key metrics and distribution data (files, volume, number of users).</t>
  </si>
  <si>
    <t>Total Archive Vol (PB)</t>
  </si>
  <si>
    <t>Unique Data Sets</t>
    <phoneticPr fontId="0" type="noConversion"/>
  </si>
  <si>
    <t>Distinct Users of EOSDIS Data and Services*1</t>
  </si>
  <si>
    <t xml:space="preserve">                LANCE Registered Users</t>
  </si>
  <si>
    <t xml:space="preserve">               LANCE Un-registered Users</t>
  </si>
  <si>
    <t>Average Archive Growth</t>
    <phoneticPr fontId="0" type="noConversion"/>
  </si>
  <si>
    <t>Data User (Registered)</t>
  </si>
  <si>
    <t>Total Archive Volume*2</t>
  </si>
  <si>
    <t>*1 Un-registered (Rapid Response and FIRMS users) excluded</t>
  </si>
  <si>
    <t>*2 Represents Production Volume for LANCE</t>
  </si>
  <si>
    <r>
      <t xml:space="preserve">
</t>
    </r>
    <r>
      <rPr>
        <sz val="36"/>
        <rFont val="Arial"/>
        <family val="2"/>
      </rPr>
      <t xml:space="preserve">
EOSDIS DAAC Profiles
FY2017
Part of the Annual Metrics Report</t>
    </r>
    <r>
      <rPr>
        <sz val="10"/>
        <rFont val="Arial"/>
        <family val="2"/>
      </rPr>
      <t xml:space="preserve">
</t>
    </r>
  </si>
  <si>
    <t xml:space="preserve">
Prepared By:
Lalit Wanchoo, Adnet Systems, Inc.
Young-In Won, Adnet Systems, Inc.
Durga Kafle, Adnet Systems, Inc
November 2017</t>
  </si>
  <si>
    <t>Fy17 archive file (mil)</t>
  </si>
  <si>
    <t>Fy17 archive (TB)</t>
  </si>
  <si>
    <t>Fy16 archive Vol (TB)</t>
  </si>
  <si>
    <t>FY16 archive files (Millions)</t>
  </si>
  <si>
    <t>FY17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</si>
  <si>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</si>
  <si>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</si>
  <si>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</si>
  <si>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</si>
  <si>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</si>
  <si>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</si>
  <si>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</si>
  <si>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</si>
  <si>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</si>
  <si>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</si>
  <si>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</si>
  <si>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</si>
  <si>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Fy16 Total</t>
  </si>
  <si>
    <t>Fy17 total</t>
  </si>
  <si>
    <t>from script1</t>
  </si>
  <si>
    <t>from "Data_Users" tab (stage 3, Distinct data users)</t>
  </si>
  <si>
    <t>FY17 archive file (mil)</t>
  </si>
  <si>
    <t>FY17 archive (TB)</t>
  </si>
  <si>
    <t>FY16 archive Vol (TB)</t>
  </si>
  <si>
    <t>Above two tables are total (including NRT)</t>
  </si>
  <si>
    <t>using LANCEdistdailysummaryMV</t>
  </si>
  <si>
    <t>script5_1</t>
  </si>
  <si>
    <t># of registered users in "NRT" tab of annual report</t>
  </si>
  <si>
    <t>from annual report</t>
  </si>
  <si>
    <t>(Oct 2016 to Sep 2017)</t>
  </si>
  <si>
    <t>FY 2017</t>
  </si>
  <si>
    <t>FY2017 Metrics (Oct 2016 to Sep 2017)</t>
  </si>
  <si>
    <t>1,393.6 M</t>
  </si>
  <si>
    <t>For September data, copy from last year's result</t>
  </si>
  <si>
    <r>
      <rPr>
        <sz val="10"/>
        <rFont val="Arial"/>
        <family val="2"/>
      </rPr>
      <t>This file contains tables and graphs of FY2017 metrics and trends for each EOSDIS DAAC plus the total. It complements the FY17 EOSDIS-wide metrics in the EOSDIS FY2017 Annual Metrics Report (filename:  FY17AnnualReport.xlsx)
The DAACs are profiled in six charts:
1. Summary for FY 2017
     a. A summary of the FY2017 key metrics per DAAC compared to the EOSDIS Total
2. Distribution and User Trends (Oct 2016 - Sep 2017)
     a. A dashboard charts displaying distribution trends and user behavior for each DAAC over the FY.
3. (DAAC) Multi-Year Total Archive Volume Trend
     a. A plot of the total archive at the DAAC since 2008.
4. (DAAC)  Multi-Year Product Distribution Trend
    a. A plot of the DAAC product distribution since 2008.
5. (DAAC)  Multi-Year Trend for Web Accesses
    a. A plot of the web accesses (visits, views, and visitors) since 2007.
6. (DAAC)  Yearly Percentage of Web Users  Downloading Data
    a. A plot of the percentage of web users that download data from the DAAC since 2008.</t>
    </r>
    <r>
      <rPr>
        <sz val="10"/>
        <color rgb="FFFF0000"/>
        <rFont val="Arial"/>
        <family val="2"/>
      </rPr>
      <t xml:space="preserve">
</t>
    </r>
  </si>
  <si>
    <t>Do not modify the upper table</t>
  </si>
  <si>
    <t>Modify the table below only if required</t>
  </si>
  <si>
    <t>FY2017</t>
  </si>
  <si>
    <t>FY2016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</si>
</sst>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  <numFmt numFmtId="173" formatCode="_(* #,##0.0000_);_(* \(#,##0.0000\);_(* &quot;-&quot;??_);_(@_)"/>
  </numFmts>
  <fonts count="27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indexed="8"/>
      </top>
      <bottom/>
      <diagonal/>
    </border>
  </borders>
  <cellStyleXfs count="2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3" fontId="0" fillId="0" borderId="0" xfId="0" applyNumberFormat="1"/>
    <xf numFmtId="167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7" fillId="0" borderId="4" xfId="0" applyFont="1" applyBorder="1" applyAlignment="1">
      <alignment vertical="top" wrapText="1"/>
    </xf>
    <xf numFmtId="43" fontId="8" fillId="0" borderId="0" xfId="8" applyFont="1"/>
    <xf numFmtId="0" fontId="3" fillId="0" borderId="0" xfId="13"/>
    <xf numFmtId="166" fontId="3" fillId="0" borderId="0" xfId="13" applyNumberFormat="1"/>
    <xf numFmtId="43" fontId="3" fillId="0" borderId="0" xfId="14" applyFont="1"/>
    <xf numFmtId="0" fontId="4" fillId="0" borderId="0" xfId="13" applyFont="1" applyAlignment="1">
      <alignment horizontal="center" vertical="center" wrapText="1"/>
    </xf>
    <xf numFmtId="0" fontId="3" fillId="0" borderId="0" xfId="13" applyAlignment="1">
      <alignment vertical="center" wrapText="1"/>
    </xf>
    <xf numFmtId="0" fontId="3" fillId="0" borderId="0" xfId="13" applyNumberFormat="1"/>
    <xf numFmtId="0" fontId="3" fillId="0" borderId="0" xfId="13" applyAlignment="1">
      <alignment horizontal="left"/>
    </xf>
    <xf numFmtId="43" fontId="5" fillId="0" borderId="4" xfId="8" applyFont="1" applyBorder="1" applyAlignment="1">
      <alignment vertical="center"/>
    </xf>
    <xf numFmtId="43" fontId="3" fillId="0" borderId="0" xfId="8" applyFont="1"/>
    <xf numFmtId="169" fontId="3" fillId="0" borderId="0" xfId="8" applyNumberFormat="1" applyFont="1"/>
    <xf numFmtId="0" fontId="4" fillId="0" borderId="0" xfId="13" applyFont="1"/>
    <xf numFmtId="165" fontId="5" fillId="0" borderId="4" xfId="8" applyNumberFormat="1" applyFont="1" applyBorder="1" applyAlignment="1">
      <alignment vertical="center"/>
    </xf>
    <xf numFmtId="165" fontId="3" fillId="0" borderId="0" xfId="8" applyNumberFormat="1" applyFont="1"/>
    <xf numFmtId="165" fontId="3" fillId="0" borderId="0" xfId="13" applyNumberFormat="1"/>
    <xf numFmtId="165" fontId="3" fillId="0" borderId="0" xfId="14" applyNumberFormat="1" applyFont="1"/>
    <xf numFmtId="49" fontId="3" fillId="0" borderId="0" xfId="13" applyNumberFormat="1"/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 wrapText="1"/>
    </xf>
    <xf numFmtId="165" fontId="0" fillId="0" borderId="4" xfId="8" applyNumberFormat="1" applyFont="1" applyBorder="1"/>
    <xf numFmtId="43" fontId="0" fillId="0" borderId="4" xfId="0" applyNumberFormat="1" applyBorder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0" xfId="13" applyFo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4" xfId="13" applyNumberFormat="1" applyFont="1" applyBorder="1"/>
    <xf numFmtId="43" fontId="3" fillId="0" borderId="4" xfId="8" applyFont="1" applyBorder="1"/>
    <xf numFmtId="168" fontId="5" fillId="0" borderId="4" xfId="1" applyNumberFormat="1" applyFill="1" applyBorder="1" applyAlignment="1">
      <alignment horizontal="center" vertical="center" wrapText="1"/>
    </xf>
    <xf numFmtId="168" fontId="0" fillId="0" borderId="4" xfId="15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 indent="1"/>
    </xf>
    <xf numFmtId="0" fontId="14" fillId="3" borderId="3" xfId="0" applyFont="1" applyFill="1" applyBorder="1" applyAlignment="1">
      <alignment horizontal="left" vertical="center" wrapText="1" indent="1"/>
    </xf>
    <xf numFmtId="0" fontId="14" fillId="3" borderId="11" xfId="0" applyFont="1" applyFill="1" applyBorder="1" applyAlignment="1">
      <alignment horizontal="left" vertical="center" wrapText="1" indent="1"/>
    </xf>
    <xf numFmtId="0" fontId="7" fillId="0" borderId="0" xfId="0" applyFont="1"/>
    <xf numFmtId="0" fontId="1" fillId="0" borderId="0" xfId="13" applyFont="1"/>
    <xf numFmtId="0" fontId="3" fillId="0" borderId="12" xfId="13" applyBorder="1"/>
    <xf numFmtId="165" fontId="5" fillId="0" borderId="4" xfId="8" applyNumberFormat="1" applyFont="1" applyBorder="1" applyAlignment="1">
      <alignment horizontal="center" vertical="center"/>
    </xf>
    <xf numFmtId="165" fontId="5" fillId="0" borderId="4" xfId="8" applyNumberFormat="1" applyFont="1" applyBorder="1" applyAlignment="1">
      <alignment horizontal="center" vertical="center" wrapText="1"/>
    </xf>
    <xf numFmtId="165" fontId="1" fillId="0" borderId="0" xfId="8" applyNumberFormat="1" applyFont="1"/>
    <xf numFmtId="0" fontId="7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9" fontId="0" fillId="0" borderId="0" xfId="0" applyNumberForma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 wrapText="1"/>
    </xf>
    <xf numFmtId="14" fontId="17" fillId="6" borderId="21" xfId="11" applyNumberFormat="1" applyFont="1" applyFill="1" applyBorder="1" applyAlignment="1">
      <alignment horizontal="center" vertical="center"/>
    </xf>
    <xf numFmtId="0" fontId="17" fillId="6" borderId="22" xfId="11" applyFont="1" applyFill="1" applyBorder="1" applyAlignment="1">
      <alignment horizontal="center" vertical="center"/>
    </xf>
    <xf numFmtId="166" fontId="17" fillId="6" borderId="23" xfId="11" applyNumberFormat="1" applyFont="1" applyFill="1" applyBorder="1" applyAlignment="1">
      <alignment horizontal="center" vertical="center"/>
    </xf>
    <xf numFmtId="0" fontId="17" fillId="6" borderId="24" xfId="11" applyFont="1" applyFill="1" applyBorder="1" applyAlignment="1">
      <alignment horizontal="center" vertical="center"/>
    </xf>
    <xf numFmtId="166" fontId="17" fillId="6" borderId="27" xfId="11" applyNumberFormat="1" applyFont="1" applyFill="1" applyBorder="1" applyAlignment="1">
      <alignment horizontal="center" vertical="center"/>
    </xf>
    <xf numFmtId="14" fontId="17" fillId="6" borderId="28" xfId="11" applyNumberFormat="1" applyFont="1" applyFill="1" applyBorder="1" applyAlignment="1">
      <alignment horizontal="center" vertical="center"/>
    </xf>
    <xf numFmtId="166" fontId="17" fillId="6" borderId="29" xfId="11" applyNumberFormat="1" applyFont="1" applyFill="1" applyBorder="1" applyAlignment="1">
      <alignment horizontal="center" vertical="center"/>
    </xf>
    <xf numFmtId="14" fontId="17" fillId="6" borderId="30" xfId="11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65" fontId="0" fillId="0" borderId="4" xfId="8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47" xfId="0" applyFont="1" applyFill="1" applyBorder="1" applyAlignment="1">
      <alignment horizontal="left" wrapText="1"/>
    </xf>
    <xf numFmtId="3" fontId="21" fillId="4" borderId="47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center" vertical="center" wrapText="1"/>
    </xf>
    <xf numFmtId="3" fontId="21" fillId="4" borderId="11" xfId="0" applyNumberFormat="1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3" fontId="21" fillId="4" borderId="11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3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 indent="1"/>
    </xf>
    <xf numFmtId="3" fontId="14" fillId="4" borderId="10" xfId="0" applyNumberFormat="1" applyFont="1" applyFill="1" applyBorder="1" applyAlignment="1">
      <alignment horizontal="right" vertical="center" wrapText="1" indent="1"/>
    </xf>
    <xf numFmtId="3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11" xfId="0" applyNumberFormat="1" applyFont="1" applyFill="1" applyBorder="1" applyAlignment="1">
      <alignment horizontal="right" vertical="center" wrapText="1" indent="1"/>
    </xf>
    <xf numFmtId="0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/>
    </xf>
    <xf numFmtId="0" fontId="1" fillId="0" borderId="48" xfId="13" applyFont="1" applyBorder="1"/>
    <xf numFmtId="0" fontId="3" fillId="0" borderId="48" xfId="13" applyBorder="1"/>
    <xf numFmtId="0" fontId="5" fillId="0" borderId="4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0" borderId="6" xfId="0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18" applyFont="1"/>
    <xf numFmtId="0" fontId="1" fillId="0" borderId="0" xfId="18"/>
    <xf numFmtId="0" fontId="0" fillId="0" borderId="48" xfId="0" applyBorder="1" applyAlignment="1">
      <alignment vertical="center" wrapText="1"/>
    </xf>
    <xf numFmtId="167" fontId="0" fillId="0" borderId="48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43" fontId="5" fillId="0" borderId="48" xfId="8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0" fontId="5" fillId="0" borderId="48" xfId="0" applyFont="1" applyBorder="1" applyAlignment="1">
      <alignment horizontal="left" vertical="center"/>
    </xf>
    <xf numFmtId="43" fontId="1" fillId="0" borderId="0" xfId="8" applyFont="1"/>
    <xf numFmtId="0" fontId="1" fillId="0" borderId="0" xfId="18" applyFont="1"/>
    <xf numFmtId="0" fontId="4" fillId="0" borderId="6" xfId="18" applyFont="1" applyBorder="1" applyAlignment="1">
      <alignment horizontal="center"/>
    </xf>
    <xf numFmtId="0" fontId="1" fillId="0" borderId="12" xfId="18" applyBorder="1"/>
    <xf numFmtId="0" fontId="1" fillId="0" borderId="0" xfId="18" applyBorder="1"/>
    <xf numFmtId="166" fontId="1" fillId="0" borderId="0" xfId="18" applyNumberFormat="1"/>
    <xf numFmtId="43" fontId="1" fillId="0" borderId="0" xfId="19" applyFont="1"/>
    <xf numFmtId="0" fontId="4" fillId="0" borderId="0" xfId="18" applyFont="1" applyAlignment="1">
      <alignment horizontal="center" vertical="center" wrapText="1"/>
    </xf>
    <xf numFmtId="169" fontId="1" fillId="0" borderId="0" xfId="8" applyNumberFormat="1" applyFont="1"/>
    <xf numFmtId="0" fontId="1" fillId="0" borderId="0" xfId="18" applyNumberFormat="1"/>
    <xf numFmtId="165" fontId="5" fillId="0" borderId="48" xfId="8" applyNumberFormat="1" applyFont="1" applyBorder="1" applyAlignment="1">
      <alignment vertical="center"/>
    </xf>
    <xf numFmtId="173" fontId="1" fillId="0" borderId="0" xfId="18" applyNumberFormat="1"/>
    <xf numFmtId="165" fontId="1" fillId="0" borderId="0" xfId="19" applyNumberFormat="1" applyFont="1"/>
    <xf numFmtId="0" fontId="4" fillId="0" borderId="6" xfId="18" applyFont="1" applyBorder="1" applyAlignment="1">
      <alignment horizontal="center" wrapText="1"/>
    </xf>
    <xf numFmtId="49" fontId="1" fillId="0" borderId="0" xfId="18" applyNumberFormat="1"/>
    <xf numFmtId="0" fontId="0" fillId="0" borderId="0" xfId="0" applyBorder="1" applyAlignment="1"/>
    <xf numFmtId="0" fontId="1" fillId="0" borderId="0" xfId="18" applyFont="1" applyBorder="1"/>
    <xf numFmtId="49" fontId="1" fillId="0" borderId="48" xfId="18" applyNumberFormat="1" applyFont="1" applyBorder="1"/>
    <xf numFmtId="0" fontId="1" fillId="0" borderId="13" xfId="18" applyFont="1" applyBorder="1"/>
    <xf numFmtId="0" fontId="5" fillId="0" borderId="48" xfId="0" applyFont="1" applyBorder="1" applyAlignment="1">
      <alignment horizontal="center"/>
    </xf>
    <xf numFmtId="43" fontId="1" fillId="0" borderId="48" xfId="8" applyFont="1" applyBorder="1"/>
    <xf numFmtId="0" fontId="1" fillId="0" borderId="48" xfId="0" applyFont="1" applyFill="1" applyBorder="1" applyAlignment="1">
      <alignment horizontal="center" wrapText="1"/>
    </xf>
    <xf numFmtId="0" fontId="1" fillId="0" borderId="48" xfId="18" applyFont="1" applyBorder="1" applyAlignment="1">
      <alignment horizontal="center"/>
    </xf>
    <xf numFmtId="0" fontId="0" fillId="0" borderId="0" xfId="0" applyBorder="1"/>
    <xf numFmtId="0" fontId="7" fillId="0" borderId="48" xfId="0" applyFont="1" applyBorder="1" applyAlignment="1">
      <alignment horizontal="center" vertical="center" wrapText="1"/>
    </xf>
    <xf numFmtId="0" fontId="0" fillId="0" borderId="48" xfId="0" applyBorder="1"/>
    <xf numFmtId="0" fontId="0" fillId="0" borderId="12" xfId="0" applyBorder="1"/>
    <xf numFmtId="0" fontId="7" fillId="0" borderId="48" xfId="0" applyFont="1" applyFill="1" applyBorder="1" applyAlignment="1">
      <alignment horizontal="center" vertical="center" wrapText="1"/>
    </xf>
    <xf numFmtId="168" fontId="5" fillId="0" borderId="48" xfId="1" applyNumberFormat="1" applyFill="1" applyBorder="1" applyAlignment="1">
      <alignment horizontal="center" vertical="center" wrapText="1"/>
    </xf>
    <xf numFmtId="168" fontId="0" fillId="0" borderId="48" xfId="15" applyNumberFormat="1" applyFont="1" applyBorder="1" applyAlignment="1">
      <alignment horizontal="center" vertical="center"/>
    </xf>
    <xf numFmtId="166" fontId="0" fillId="0" borderId="0" xfId="0" applyNumberFormat="1" applyBorder="1"/>
    <xf numFmtId="165" fontId="7" fillId="0" borderId="0" xfId="8" applyNumberFormat="1" applyFont="1" applyBorder="1" applyAlignment="1">
      <alignment horizontal="center"/>
    </xf>
    <xf numFmtId="165" fontId="4" fillId="0" borderId="6" xfId="8" applyNumberFormat="1" applyFont="1" applyBorder="1" applyAlignment="1">
      <alignment horizontal="center"/>
    </xf>
    <xf numFmtId="165" fontId="1" fillId="0" borderId="12" xfId="8" applyNumberFormat="1" applyFont="1" applyBorder="1"/>
    <xf numFmtId="165" fontId="0" fillId="0" borderId="48" xfId="8" applyNumberFormat="1" applyFont="1" applyBorder="1" applyAlignment="1">
      <alignment horizontal="center" vertical="center"/>
    </xf>
    <xf numFmtId="165" fontId="0" fillId="0" borderId="48" xfId="8" applyNumberFormat="1" applyFont="1" applyBorder="1"/>
    <xf numFmtId="0" fontId="0" fillId="0" borderId="49" xfId="0" applyFill="1" applyBorder="1"/>
    <xf numFmtId="165" fontId="0" fillId="0" borderId="0" xfId="8" applyNumberFormat="1" applyFont="1" applyBorder="1"/>
    <xf numFmtId="0" fontId="7" fillId="0" borderId="48" xfId="0" applyFont="1" applyBorder="1" applyAlignment="1">
      <alignment vertical="top"/>
    </xf>
    <xf numFmtId="0" fontId="7" fillId="0" borderId="48" xfId="0" applyFont="1" applyBorder="1" applyAlignment="1">
      <alignment vertical="top" wrapText="1"/>
    </xf>
    <xf numFmtId="0" fontId="0" fillId="0" borderId="48" xfId="0" applyFont="1" applyBorder="1" applyAlignment="1">
      <alignment horizontal="center" vertical="center" wrapText="1"/>
    </xf>
    <xf numFmtId="0" fontId="7" fillId="0" borderId="48" xfId="0" applyFont="1" applyFill="1" applyBorder="1" applyAlignment="1">
      <alignment vertical="top" wrapText="1"/>
    </xf>
    <xf numFmtId="49" fontId="0" fillId="0" borderId="48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0" fontId="14" fillId="3" borderId="2" xfId="0" applyFont="1" applyFill="1" applyBorder="1" applyAlignment="1">
      <alignment horizontal="left" vertical="top" wrapText="1" indent="1"/>
    </xf>
    <xf numFmtId="3" fontId="14" fillId="4" borderId="47" xfId="0" applyNumberFormat="1" applyFont="1" applyFill="1" applyBorder="1" applyAlignment="1">
      <alignment horizontal="right" vertical="center" wrapText="1" indent="1"/>
    </xf>
    <xf numFmtId="0" fontId="14" fillId="3" borderId="50" xfId="0" applyFont="1" applyFill="1" applyBorder="1" applyAlignment="1">
      <alignment horizontal="left" vertical="top" wrapText="1" indent="1"/>
    </xf>
    <xf numFmtId="3" fontId="14" fillId="4" borderId="51" xfId="0" applyNumberFormat="1" applyFont="1" applyFill="1" applyBorder="1" applyAlignment="1">
      <alignment horizontal="right" vertical="center" wrapText="1" indent="1"/>
    </xf>
    <xf numFmtId="0" fontId="14" fillId="4" borderId="51" xfId="0" applyNumberFormat="1" applyFont="1" applyFill="1" applyBorder="1" applyAlignment="1">
      <alignment horizontal="right" vertical="center" wrapText="1" indent="1"/>
    </xf>
    <xf numFmtId="171" fontId="14" fillId="4" borderId="51" xfId="0" applyNumberFormat="1" applyFont="1" applyFill="1" applyBorder="1" applyAlignment="1">
      <alignment horizontal="right" vertical="center" wrapText="1" indent="1"/>
    </xf>
    <xf numFmtId="0" fontId="14" fillId="3" borderId="50" xfId="0" applyFont="1" applyFill="1" applyBorder="1" applyAlignment="1">
      <alignment horizontal="left" vertical="center" wrapText="1" indent="1"/>
    </xf>
    <xf numFmtId="0" fontId="14" fillId="3" borderId="51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vertical="top"/>
    </xf>
    <xf numFmtId="0" fontId="0" fillId="0" borderId="52" xfId="0" applyBorder="1"/>
    <xf numFmtId="165" fontId="0" fillId="8" borderId="4" xfId="8" applyNumberFormat="1" applyFont="1" applyFill="1" applyBorder="1"/>
    <xf numFmtId="43" fontId="0" fillId="8" borderId="4" xfId="8" applyFont="1" applyFill="1" applyBorder="1"/>
    <xf numFmtId="4" fontId="5" fillId="8" borderId="4" xfId="0" applyNumberFormat="1" applyFont="1" applyFill="1" applyBorder="1"/>
    <xf numFmtId="43" fontId="0" fillId="8" borderId="4" xfId="0" applyNumberFormat="1" applyFill="1" applyBorder="1"/>
    <xf numFmtId="169" fontId="0" fillId="8" borderId="0" xfId="8" applyNumberFormat="1" applyFont="1" applyFill="1"/>
    <xf numFmtId="0" fontId="0" fillId="8" borderId="0" xfId="0" applyFill="1"/>
    <xf numFmtId="0" fontId="8" fillId="8" borderId="0" xfId="0" applyFont="1" applyFill="1"/>
    <xf numFmtId="49" fontId="5" fillId="8" borderId="4" xfId="0" applyNumberFormat="1" applyFon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/>
    </xf>
    <xf numFmtId="49" fontId="0" fillId="8" borderId="5" xfId="0" applyNumberFormat="1" applyFill="1" applyBorder="1" applyAlignment="1">
      <alignment horizontal="center"/>
    </xf>
    <xf numFmtId="165" fontId="0" fillId="8" borderId="0" xfId="8" applyNumberFormat="1" applyFont="1" applyFill="1"/>
    <xf numFmtId="165" fontId="18" fillId="8" borderId="4" xfId="8" applyNumberFormat="1" applyFont="1" applyFill="1" applyBorder="1"/>
    <xf numFmtId="43" fontId="0" fillId="8" borderId="0" xfId="8" applyFont="1" applyFill="1"/>
    <xf numFmtId="43" fontId="18" fillId="8" borderId="4" xfId="8" applyFont="1" applyFill="1" applyBorder="1"/>
    <xf numFmtId="4" fontId="0" fillId="8" borderId="4" xfId="0" applyNumberForma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43" fontId="5" fillId="8" borderId="4" xfId="8" applyFont="1" applyFill="1" applyBorder="1" applyAlignment="1">
      <alignment vertical="center"/>
    </xf>
    <xf numFmtId="0" fontId="5" fillId="8" borderId="4" xfId="0" applyFont="1" applyFill="1" applyBorder="1" applyAlignment="1">
      <alignment horizontal="left" vertical="center"/>
    </xf>
    <xf numFmtId="0" fontId="1" fillId="8" borderId="0" xfId="13" applyFont="1" applyFill="1"/>
    <xf numFmtId="43" fontId="3" fillId="8" borderId="0" xfId="8" applyFont="1" applyFill="1"/>
    <xf numFmtId="166" fontId="3" fillId="8" borderId="0" xfId="13" applyNumberFormat="1" applyFill="1"/>
    <xf numFmtId="43" fontId="3" fillId="8" borderId="0" xfId="14" applyFont="1" applyFill="1"/>
    <xf numFmtId="0" fontId="3" fillId="8" borderId="0" xfId="13" applyFill="1"/>
    <xf numFmtId="169" fontId="3" fillId="8" borderId="0" xfId="8" applyNumberFormat="1" applyFont="1" applyFill="1"/>
    <xf numFmtId="167" fontId="5" fillId="8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165" fontId="3" fillId="8" borderId="0" xfId="8" applyNumberFormat="1" applyFont="1" applyFill="1"/>
    <xf numFmtId="165" fontId="5" fillId="0" borderId="4" xfId="8" applyNumberFormat="1" applyFont="1" applyFill="1" applyBorder="1" applyAlignment="1">
      <alignment vertical="center"/>
    </xf>
    <xf numFmtId="3" fontId="5" fillId="9" borderId="4" xfId="0" applyNumberFormat="1" applyFont="1" applyFill="1" applyBorder="1" applyAlignment="1">
      <alignment vertical="center"/>
    </xf>
    <xf numFmtId="165" fontId="0" fillId="9" borderId="0" xfId="8" applyNumberFormat="1" applyFont="1" applyFill="1"/>
    <xf numFmtId="165" fontId="0" fillId="0" borderId="48" xfId="8" applyNumberFormat="1" applyFont="1" applyFill="1" applyBorder="1"/>
    <xf numFmtId="43" fontId="0" fillId="0" borderId="48" xfId="0" applyNumberFormat="1" applyFill="1" applyBorder="1"/>
    <xf numFmtId="0" fontId="8" fillId="0" borderId="0" xfId="0" applyFont="1" applyFill="1"/>
    <xf numFmtId="43" fontId="8" fillId="0" borderId="0" xfId="8" applyFont="1" applyFill="1"/>
    <xf numFmtId="0" fontId="0" fillId="0" borderId="0" xfId="0" applyFill="1"/>
    <xf numFmtId="49" fontId="0" fillId="0" borderId="1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9" fontId="0" fillId="0" borderId="0" xfId="8" applyNumberFormat="1" applyFont="1" applyFill="1"/>
    <xf numFmtId="43" fontId="0" fillId="0" borderId="0" xfId="8" applyFont="1" applyFill="1"/>
    <xf numFmtId="49" fontId="0" fillId="0" borderId="5" xfId="0" applyNumberFormat="1" applyFill="1" applyBorder="1" applyAlignment="1">
      <alignment horizontal="center"/>
    </xf>
    <xf numFmtId="49" fontId="0" fillId="0" borderId="4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0" fontId="0" fillId="0" borderId="48" xfId="0" applyFont="1" applyBorder="1" applyAlignment="1">
      <alignment horizontal="center" vertical="center"/>
    </xf>
    <xf numFmtId="165" fontId="0" fillId="9" borderId="4" xfId="8" applyNumberFormat="1" applyFont="1" applyFill="1" applyBorder="1"/>
    <xf numFmtId="43" fontId="0" fillId="10" borderId="4" xfId="8" applyFont="1" applyFill="1" applyBorder="1"/>
    <xf numFmtId="165" fontId="3" fillId="9" borderId="0" xfId="8" applyNumberFormat="1" applyFont="1" applyFill="1"/>
    <xf numFmtId="0" fontId="0" fillId="11" borderId="4" xfId="0" applyFill="1" applyBorder="1"/>
    <xf numFmtId="165" fontId="0" fillId="9" borderId="48" xfId="8" applyNumberFormat="1" applyFont="1" applyFill="1" applyBorder="1"/>
    <xf numFmtId="43" fontId="0" fillId="9" borderId="48" xfId="8" applyFont="1" applyFill="1" applyBorder="1"/>
    <xf numFmtId="4" fontId="5" fillId="9" borderId="48" xfId="0" applyNumberFormat="1" applyFont="1" applyFill="1" applyBorder="1"/>
    <xf numFmtId="169" fontId="0" fillId="9" borderId="0" xfId="8" applyNumberFormat="1" applyFont="1" applyFill="1"/>
    <xf numFmtId="165" fontId="0" fillId="9" borderId="0" xfId="8" applyNumberFormat="1" applyFont="1" applyFill="1" applyBorder="1"/>
    <xf numFmtId="0" fontId="0" fillId="9" borderId="48" xfId="0" applyFill="1" applyBorder="1"/>
    <xf numFmtId="43" fontId="1" fillId="9" borderId="48" xfId="8" applyFont="1" applyFill="1" applyBorder="1"/>
    <xf numFmtId="165" fontId="5" fillId="9" borderId="48" xfId="8" applyNumberFormat="1" applyFont="1" applyFill="1" applyBorder="1" applyAlignment="1">
      <alignment horizontal="center" vertical="center"/>
    </xf>
    <xf numFmtId="165" fontId="5" fillId="9" borderId="48" xfId="8" applyNumberFormat="1" applyFont="1" applyFill="1" applyBorder="1" applyAlignment="1">
      <alignment vertical="center"/>
    </xf>
    <xf numFmtId="43" fontId="5" fillId="9" borderId="48" xfId="8" applyFont="1" applyFill="1" applyBorder="1" applyAlignment="1">
      <alignment vertical="center"/>
    </xf>
    <xf numFmtId="168" fontId="0" fillId="9" borderId="4" xfId="15" applyNumberFormat="1" applyFont="1" applyFill="1" applyBorder="1" applyAlignment="1">
      <alignment horizontal="center" vertical="center"/>
    </xf>
    <xf numFmtId="0" fontId="2" fillId="0" borderId="4" xfId="13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3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6" fontId="3" fillId="0" borderId="0" xfId="13" applyNumberFormat="1" applyAlignment="1">
      <alignment horizontal="left"/>
    </xf>
    <xf numFmtId="166" fontId="0" fillId="0" borderId="4" xfId="0" applyNumberFormat="1" applyBorder="1" applyAlignment="1">
      <alignment horizontal="center"/>
    </xf>
    <xf numFmtId="43" fontId="3" fillId="0" borderId="48" xfId="8" applyFont="1" applyBorder="1"/>
    <xf numFmtId="43" fontId="3" fillId="0" borderId="48" xfId="8" applyFont="1" applyFill="1" applyBorder="1"/>
    <xf numFmtId="43" fontId="5" fillId="0" borderId="4" xfId="8" applyFont="1" applyFill="1" applyBorder="1" applyAlignment="1">
      <alignment vertical="center"/>
    </xf>
    <xf numFmtId="165" fontId="0" fillId="12" borderId="4" xfId="8" applyNumberFormat="1" applyFont="1" applyFill="1" applyBorder="1"/>
    <xf numFmtId="165" fontId="0" fillId="0" borderId="4" xfId="8" applyNumberFormat="1" applyFont="1" applyFill="1" applyBorder="1"/>
    <xf numFmtId="0" fontId="26" fillId="0" borderId="0" xfId="18" applyFont="1"/>
    <xf numFmtId="165" fontId="0" fillId="13" borderId="4" xfId="8" applyNumberFormat="1" applyFont="1" applyFill="1" applyBorder="1"/>
    <xf numFmtId="0" fontId="3" fillId="13" borderId="48" xfId="13" applyFill="1" applyBorder="1"/>
    <xf numFmtId="165" fontId="3" fillId="13" borderId="0" xfId="8" applyNumberFormat="1" applyFont="1" applyFill="1"/>
    <xf numFmtId="165" fontId="0" fillId="13" borderId="48" xfId="8" applyNumberFormat="1" applyFont="1" applyFill="1" applyBorder="1"/>
    <xf numFmtId="165" fontId="1" fillId="13" borderId="0" xfId="8" applyNumberFormat="1" applyFont="1" applyFill="1"/>
    <xf numFmtId="43" fontId="0" fillId="13" borderId="4" xfId="8" applyFont="1" applyFill="1" applyBorder="1"/>
    <xf numFmtId="0" fontId="13" fillId="0" borderId="0" xfId="0" applyFont="1" applyBorder="1" applyAlignment="1">
      <alignment horizontal="center" vertical="center" wrapText="1"/>
    </xf>
    <xf numFmtId="3" fontId="5" fillId="7" borderId="36" xfId="13" applyNumberFormat="1" applyFont="1" applyFill="1" applyBorder="1" applyAlignment="1">
      <alignment vertical="center"/>
    </xf>
    <xf numFmtId="3" fontId="5" fillId="7" borderId="41" xfId="13" applyNumberFormat="1" applyFont="1" applyFill="1" applyBorder="1" applyAlignment="1">
      <alignment vertical="center"/>
    </xf>
    <xf numFmtId="0" fontId="14" fillId="3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14" fillId="4" borderId="25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7" borderId="40" xfId="11" applyFont="1" applyFill="1" applyBorder="1" applyAlignment="1">
      <alignment horizontal="center" vertical="center"/>
    </xf>
    <xf numFmtId="0" fontId="15" fillId="7" borderId="43" xfId="11" applyFont="1" applyFill="1" applyBorder="1" applyAlignment="1">
      <alignment horizontal="center" vertical="center"/>
    </xf>
    <xf numFmtId="168" fontId="16" fillId="7" borderId="38" xfId="11" applyNumberFormat="1" applyFont="1" applyFill="1" applyBorder="1" applyAlignment="1" applyProtection="1">
      <alignment horizontal="center" vertical="center"/>
    </xf>
    <xf numFmtId="168" fontId="16" fillId="7" borderId="39" xfId="11" applyNumberFormat="1" applyFont="1" applyFill="1" applyBorder="1" applyAlignment="1" applyProtection="1">
      <alignment horizontal="center" vertical="center"/>
    </xf>
    <xf numFmtId="3" fontId="16" fillId="7" borderId="25" xfId="11" applyNumberFormat="1" applyFont="1" applyFill="1" applyBorder="1" applyAlignment="1" applyProtection="1">
      <alignment horizontal="center" vertical="center"/>
    </xf>
    <xf numFmtId="3" fontId="16" fillId="7" borderId="42" xfId="11" applyNumberFormat="1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5" fillId="7" borderId="34" xfId="13" applyNumberFormat="1" applyFont="1" applyFill="1" applyBorder="1" applyAlignment="1">
      <alignment vertical="center"/>
    </xf>
    <xf numFmtId="171" fontId="16" fillId="7" borderId="25" xfId="1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7" borderId="37" xfId="11" applyFont="1" applyFill="1" applyBorder="1" applyAlignment="1">
      <alignment horizontal="center" vertical="center"/>
    </xf>
    <xf numFmtId="171" fontId="16" fillId="7" borderId="35" xfId="11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17" fillId="6" borderId="20" xfId="1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14" fillId="4" borderId="25" xfId="0" applyNumberFormat="1" applyFont="1" applyFill="1" applyBorder="1" applyAlignment="1">
      <alignment horizontal="center" vertical="center" wrapText="1"/>
    </xf>
    <xf numFmtId="167" fontId="0" fillId="0" borderId="25" xfId="0" applyNumberForma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170" fontId="14" fillId="7" borderId="35" xfId="8" applyNumberFormat="1" applyFont="1" applyFill="1" applyBorder="1" applyAlignment="1">
      <alignment horizontal="center" vertical="center"/>
    </xf>
    <xf numFmtId="170" fontId="0" fillId="7" borderId="25" xfId="8" applyNumberFormat="1" applyFont="1" applyFill="1" applyBorder="1" applyAlignment="1">
      <alignment horizontal="center" vertical="center"/>
    </xf>
    <xf numFmtId="167" fontId="16" fillId="7" borderId="35" xfId="11" applyNumberFormat="1" applyFont="1" applyFill="1" applyBorder="1" applyAlignment="1" applyProtection="1">
      <alignment horizontal="center" vertical="center"/>
    </xf>
    <xf numFmtId="167" fontId="16" fillId="7" borderId="25" xfId="11" applyNumberFormat="1" applyFont="1" applyFill="1" applyBorder="1" applyAlignment="1" applyProtection="1">
      <alignment horizontal="center" vertical="center"/>
    </xf>
    <xf numFmtId="1" fontId="16" fillId="7" borderId="25" xfId="11" applyNumberFormat="1" applyFont="1" applyFill="1" applyBorder="1" applyAlignment="1" applyProtection="1">
      <alignment horizontal="center" vertical="center"/>
    </xf>
    <xf numFmtId="1" fontId="16" fillId="7" borderId="42" xfId="11" applyNumberFormat="1" applyFont="1" applyFill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171" fontId="14" fillId="7" borderId="35" xfId="8" applyNumberFormat="1" applyFont="1" applyFill="1" applyBorder="1" applyAlignment="1">
      <alignment horizontal="center" vertical="center"/>
    </xf>
    <xf numFmtId="171" fontId="0" fillId="7" borderId="25" xfId="8" applyNumberFormat="1" applyFont="1" applyFill="1" applyBorder="1" applyAlignment="1">
      <alignment horizontal="center" vertical="center"/>
    </xf>
    <xf numFmtId="171" fontId="14" fillId="4" borderId="25" xfId="0" applyNumberFormat="1" applyFont="1" applyFill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168" fontId="16" fillId="7" borderId="44" xfId="11" applyNumberFormat="1" applyFont="1" applyFill="1" applyBorder="1" applyAlignment="1" applyProtection="1">
      <alignment horizontal="center" vertical="center"/>
    </xf>
    <xf numFmtId="3" fontId="5" fillId="7" borderId="45" xfId="13" applyNumberFormat="1" applyFont="1" applyFill="1" applyBorder="1" applyAlignment="1">
      <alignment vertical="center"/>
    </xf>
    <xf numFmtId="3" fontId="5" fillId="7" borderId="46" xfId="13" applyNumberFormat="1" applyFont="1" applyFill="1" applyBorder="1" applyAlignment="1">
      <alignment vertical="center"/>
    </xf>
    <xf numFmtId="3" fontId="14" fillId="4" borderId="25" xfId="0" applyNumberFormat="1" applyFont="1" applyFill="1" applyBorder="1" applyAlignment="1">
      <alignment horizontal="left" vertical="center" wrapText="1" indent="2"/>
    </xf>
    <xf numFmtId="3" fontId="0" fillId="0" borderId="42" xfId="0" applyNumberFormat="1" applyBorder="1" applyAlignment="1">
      <alignment horizontal="left" vertical="center" wrapText="1" indent="2"/>
    </xf>
    <xf numFmtId="0" fontId="15" fillId="7" borderId="40" xfId="11" applyFont="1" applyFill="1" applyBorder="1" applyAlignment="1">
      <alignment vertical="center"/>
    </xf>
    <xf numFmtId="0" fontId="15" fillId="7" borderId="43" xfId="11" applyFont="1" applyFill="1" applyBorder="1" applyAlignment="1">
      <alignment vertical="center"/>
    </xf>
    <xf numFmtId="3" fontId="16" fillId="7" borderId="25" xfId="11" applyNumberFormat="1" applyFont="1" applyFill="1" applyBorder="1" applyAlignment="1" applyProtection="1">
      <alignment horizontal="left" vertical="center" indent="2"/>
    </xf>
    <xf numFmtId="3" fontId="16" fillId="7" borderId="42" xfId="11" applyNumberFormat="1" applyFont="1" applyFill="1" applyBorder="1" applyAlignment="1" applyProtection="1">
      <alignment horizontal="left" vertical="center" indent="2"/>
    </xf>
    <xf numFmtId="3" fontId="5" fillId="7" borderId="36" xfId="18" applyNumberFormat="1" applyFont="1" applyFill="1" applyBorder="1" applyAlignment="1">
      <alignment vertical="center"/>
    </xf>
    <xf numFmtId="3" fontId="5" fillId="7" borderId="34" xfId="18" applyNumberFormat="1" applyFont="1" applyFill="1" applyBorder="1" applyAlignment="1">
      <alignment vertical="center"/>
    </xf>
    <xf numFmtId="3" fontId="5" fillId="7" borderId="41" xfId="18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6" xfId="13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4" fillId="0" borderId="6" xfId="8" applyNumberFormat="1" applyFont="1" applyBorder="1" applyAlignment="1">
      <alignment horizontal="center" wrapText="1"/>
    </xf>
    <xf numFmtId="165" fontId="7" fillId="0" borderId="6" xfId="8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/>
    <xf numFmtId="0" fontId="4" fillId="8" borderId="6" xfId="13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4">
    <cellStyle name="Comma" xfId="8" builtinId="3"/>
    <cellStyle name="Comma 2" xfId="2"/>
    <cellStyle name="Comma 3" xfId="12"/>
    <cellStyle name="Comma 4" xfId="14"/>
    <cellStyle name="Comma 4 2" xfId="19"/>
    <cellStyle name="Comma 6 2" xfId="6"/>
    <cellStyle name="Comma 8" xfId="7"/>
    <cellStyle name="Followed Hyperlink" xfId="17" builtinId="9" hidden="1"/>
    <cellStyle name="Followed Hyperlink" xfId="21" builtinId="9" hidden="1"/>
    <cellStyle name="Followed Hyperlink" xfId="23" builtinId="9" hidden="1"/>
    <cellStyle name="Hyperlink" xfId="16" builtinId="8" hidden="1"/>
    <cellStyle name="Hyperlink" xfId="20" builtinId="8" hidden="1"/>
    <cellStyle name="Hyperlink" xfId="22" builtinId="8" hidden="1"/>
    <cellStyle name="Neutral 2" xfId="10"/>
    <cellStyle name="Normal" xfId="0" builtinId="0"/>
    <cellStyle name="Normal 2" xfId="1"/>
    <cellStyle name="Normal 2 2" xfId="4"/>
    <cellStyle name="Normal 3" xfId="9"/>
    <cellStyle name="Normal 3 2" xfId="11"/>
    <cellStyle name="Normal 4" xfId="3"/>
    <cellStyle name="Normal 5" xfId="13"/>
    <cellStyle name="Normal 5 2" xfId="18"/>
    <cellStyle name="Percent" xfId="15" builtinId="5"/>
    <cellStyle name="Percent 2" xfId="5"/>
  </cellStyles>
  <dxfs count="0"/>
  <tableStyles count="0" defaultTableStyle="TableStyleMedium2" defaultPivotStyle="PivotStyleLight16"/>
  <colors>
    <mruColors>
      <color rgb="FFFFCC99"/>
      <color rgb="FFFFCC00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51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chartUserShapes" Target="../drawings/drawing4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data!$B$157:$B$166</c:f>
              <c:numCache>
                <c:formatCode>_(* #,##0.00_);_(* \(#,##0.00\);_(* "-"??_);_(@_)</c:formatCode>
                <c:ptCount val="10"/>
                <c:pt idx="0">
                  <c:v>1828.71037890625</c:v>
                </c:pt>
                <c:pt idx="1">
                  <c:v>2359.018</c:v>
                </c:pt>
                <c:pt idx="2">
                  <c:v>2082.829763289063</c:v>
                </c:pt>
                <c:pt idx="3">
                  <c:v>1780.108232421875</c:v>
                </c:pt>
                <c:pt idx="4">
                  <c:v>2167.0134765625</c:v>
                </c:pt>
                <c:pt idx="5">
                  <c:v>2806.56</c:v>
                </c:pt>
                <c:pt idx="6">
                  <c:v>3268.561468825492</c:v>
                </c:pt>
                <c:pt idx="7">
                  <c:v>3475.0</c:v>
                </c:pt>
                <c:pt idx="8">
                  <c:v>4159.7939453125</c:v>
                </c:pt>
                <c:pt idx="9">
                  <c:v>4179.5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241552"/>
        <c:axId val="814244944"/>
      </c:barChart>
      <c:catAx>
        <c:axId val="81424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4244944"/>
        <c:crosses val="autoZero"/>
        <c:auto val="1"/>
        <c:lblAlgn val="ctr"/>
        <c:lblOffset val="100"/>
        <c:noMultiLvlLbl val="0"/>
      </c:catAx>
      <c:valAx>
        <c:axId val="81424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4241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data!$D$169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data!$D$170:$D$179</c:f>
              <c:numCache>
                <c:formatCode>0.0%</c:formatCode>
                <c:ptCount val="10"/>
                <c:pt idx="1">
                  <c:v>0.444330949948927</c:v>
                </c:pt>
                <c:pt idx="2">
                  <c:v>0.432558139534884</c:v>
                </c:pt>
                <c:pt idx="3">
                  <c:v>0.461538461538462</c:v>
                </c:pt>
                <c:pt idx="4">
                  <c:v>0.457100953312149</c:v>
                </c:pt>
                <c:pt idx="5">
                  <c:v>0.504518979714802</c:v>
                </c:pt>
                <c:pt idx="6">
                  <c:v>0.469026548672566</c:v>
                </c:pt>
                <c:pt idx="7">
                  <c:v>0.433526011560694</c:v>
                </c:pt>
                <c:pt idx="8">
                  <c:v>0.436111111111111</c:v>
                </c:pt>
                <c:pt idx="9">
                  <c:v>0.425231621785436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662976"/>
        <c:axId val="820666368"/>
      </c:lineChart>
      <c:catAx>
        <c:axId val="8206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666368"/>
        <c:crosses val="autoZero"/>
        <c:auto val="1"/>
        <c:lblAlgn val="ctr"/>
        <c:lblOffset val="100"/>
        <c:noMultiLvlLbl val="0"/>
      </c:catAx>
      <c:valAx>
        <c:axId val="820666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6629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1"/>
          <c:y val="0.143607581541664"/>
          <c:w val="0.808528790253727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data!$H$235:$H$245</c:f>
              <c:numCache>
                <c:formatCode>General</c:formatCode>
                <c:ptCount val="11"/>
                <c:pt idx="2">
                  <c:v>1195.0</c:v>
                </c:pt>
                <c:pt idx="3">
                  <c:v>2241.0</c:v>
                </c:pt>
                <c:pt idx="4">
                  <c:v>2504.0</c:v>
                </c:pt>
                <c:pt idx="5">
                  <c:v>5628.0</c:v>
                </c:pt>
                <c:pt idx="6">
                  <c:v>8326.0</c:v>
                </c:pt>
                <c:pt idx="7">
                  <c:v>6975.0</c:v>
                </c:pt>
                <c:pt idx="8">
                  <c:v>8284.0</c:v>
                </c:pt>
                <c:pt idx="9">
                  <c:v>10869.0</c:v>
                </c:pt>
                <c:pt idx="10">
                  <c:v>14866.0</c:v>
                </c:pt>
              </c:numCache>
            </c:numRef>
          </c:val>
        </c:ser>
        <c:ser>
          <c:idx val="1"/>
          <c:order val="1"/>
          <c:tx>
            <c:strRef>
              <c:f>data!$I$234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data!$I$235:$I$245</c:f>
              <c:numCache>
                <c:formatCode>General</c:formatCode>
                <c:ptCount val="11"/>
                <c:pt idx="2">
                  <c:v>7220.0</c:v>
                </c:pt>
                <c:pt idx="3">
                  <c:v>13695.0</c:v>
                </c:pt>
                <c:pt idx="4">
                  <c:v>57720.0</c:v>
                </c:pt>
                <c:pt idx="5">
                  <c:v>108135.0</c:v>
                </c:pt>
                <c:pt idx="6">
                  <c:v>347006.0</c:v>
                </c:pt>
                <c:pt idx="7">
                  <c:v>122957.0</c:v>
                </c:pt>
                <c:pt idx="8">
                  <c:v>53139.0</c:v>
                </c:pt>
                <c:pt idx="9">
                  <c:v>64554.0</c:v>
                </c:pt>
                <c:pt idx="10">
                  <c:v>96028.0</c:v>
                </c:pt>
              </c:numCache>
            </c:numRef>
          </c:val>
        </c:ser>
        <c:ser>
          <c:idx val="2"/>
          <c:order val="2"/>
          <c:tx>
            <c:strRef>
              <c:f>data!$J$234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data!$J$235:$J$245</c:f>
              <c:numCache>
                <c:formatCode>General</c:formatCode>
                <c:ptCount val="11"/>
                <c:pt idx="2">
                  <c:v>979.0</c:v>
                </c:pt>
                <c:pt idx="3">
                  <c:v>1935.0</c:v>
                </c:pt>
                <c:pt idx="4">
                  <c:v>2093.0</c:v>
                </c:pt>
                <c:pt idx="5">
                  <c:v>4486.0</c:v>
                </c:pt>
                <c:pt idx="6">
                  <c:v>5414.0</c:v>
                </c:pt>
                <c:pt idx="7">
                  <c:v>4896.0</c:v>
                </c:pt>
                <c:pt idx="8">
                  <c:v>6574.0</c:v>
                </c:pt>
                <c:pt idx="9">
                  <c:v>8640.0</c:v>
                </c:pt>
                <c:pt idx="10">
                  <c:v>11549.0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323680"/>
        <c:axId val="820327072"/>
      </c:barChart>
      <c:catAx>
        <c:axId val="82032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27072"/>
        <c:crosses val="autoZero"/>
        <c:auto val="1"/>
        <c:lblAlgn val="ctr"/>
        <c:lblOffset val="100"/>
        <c:noMultiLvlLbl val="0"/>
      </c:catAx>
      <c:valAx>
        <c:axId val="8203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236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821188057039"/>
          <c:y val="0.163429093145045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Summary_data!$F$21:$F$31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37.05806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144.293748</c:v>
                </c:pt>
                <c:pt idx="8">
                  <c:v>172.036391</c:v>
                </c:pt>
                <c:pt idx="9">
                  <c:v>316.508622</c:v>
                </c:pt>
                <c:pt idx="10">
                  <c:v>384.034918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48496"/>
        <c:axId val="820351888"/>
      </c:barChart>
      <c:catAx>
        <c:axId val="82034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351888"/>
        <c:crosses val="autoZero"/>
        <c:auto val="1"/>
        <c:lblAlgn val="ctr"/>
        <c:lblOffset val="100"/>
        <c:noMultiLvlLbl val="0"/>
      </c:catAx>
      <c:valAx>
        <c:axId val="820351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348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data!$E$157:$E$166</c:f>
              <c:numCache>
                <c:formatCode>_(* #,##0.00_);_(* \(#,##0.00\);_(* "-"??_);_(@_)</c:formatCode>
                <c:ptCount val="10"/>
                <c:pt idx="0">
                  <c:v>219.8872294921875</c:v>
                </c:pt>
                <c:pt idx="1">
                  <c:v>317.831</c:v>
                </c:pt>
                <c:pt idx="2">
                  <c:v>381.539158203125</c:v>
                </c:pt>
                <c:pt idx="3">
                  <c:v>422.22720703125</c:v>
                </c:pt>
                <c:pt idx="4">
                  <c:v>515.71818359375</c:v>
                </c:pt>
                <c:pt idx="5">
                  <c:v>668.5562109375001</c:v>
                </c:pt>
                <c:pt idx="6">
                  <c:v>775.3091868509467</c:v>
                </c:pt>
                <c:pt idx="7">
                  <c:v>1161.837822265625</c:v>
                </c:pt>
                <c:pt idx="8">
                  <c:v>1425.640654296875</c:v>
                </c:pt>
                <c:pt idx="9">
                  <c:v>1682.993828125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409552"/>
        <c:axId val="820412944"/>
      </c:barChart>
      <c:catAx>
        <c:axId val="82040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412944"/>
        <c:crosses val="autoZero"/>
        <c:auto val="1"/>
        <c:lblAlgn val="ctr"/>
        <c:lblOffset val="100"/>
        <c:noMultiLvlLbl val="0"/>
      </c:catAx>
      <c:valAx>
        <c:axId val="820412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409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4"/>
          <c:y val="0.149019502160419"/>
          <c:w val="0.839465925789318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data!$E$169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data!$E$170:$E$179</c:f>
              <c:numCache>
                <c:formatCode>0.0%</c:formatCode>
                <c:ptCount val="10"/>
                <c:pt idx="0">
                  <c:v>0.169455485616943</c:v>
                </c:pt>
                <c:pt idx="1">
                  <c:v>0.127956337174045</c:v>
                </c:pt>
                <c:pt idx="2">
                  <c:v>0.243128212047247</c:v>
                </c:pt>
                <c:pt idx="3">
                  <c:v>0.257078622697662</c:v>
                </c:pt>
                <c:pt idx="4">
                  <c:v>0.328138151211725</c:v>
                </c:pt>
                <c:pt idx="5">
                  <c:v>0.374528451270969</c:v>
                </c:pt>
                <c:pt idx="6">
                  <c:v>0.410891040254216</c:v>
                </c:pt>
                <c:pt idx="7">
                  <c:v>0.355489223848292</c:v>
                </c:pt>
                <c:pt idx="8">
                  <c:v>0.361264859057895</c:v>
                </c:pt>
                <c:pt idx="9">
                  <c:v>0.380227144528915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347696"/>
        <c:axId val="815343280"/>
      </c:lineChart>
      <c:catAx>
        <c:axId val="81534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5343280"/>
        <c:crosses val="autoZero"/>
        <c:auto val="1"/>
        <c:lblAlgn val="ctr"/>
        <c:lblOffset val="100"/>
        <c:noMultiLvlLbl val="0"/>
      </c:catAx>
      <c:valAx>
        <c:axId val="815343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53476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data!$K$235:$K$245</c:f>
              <c:numCache>
                <c:formatCode>General</c:formatCode>
                <c:ptCount val="11"/>
                <c:pt idx="0">
                  <c:v>141171.0</c:v>
                </c:pt>
                <c:pt idx="1">
                  <c:v>143781.0</c:v>
                </c:pt>
                <c:pt idx="2">
                  <c:v>144585.0</c:v>
                </c:pt>
                <c:pt idx="3">
                  <c:v>155369.0</c:v>
                </c:pt>
                <c:pt idx="4">
                  <c:v>191134.0</c:v>
                </c:pt>
                <c:pt idx="5">
                  <c:v>214570.0</c:v>
                </c:pt>
                <c:pt idx="6">
                  <c:v>225553.0</c:v>
                </c:pt>
                <c:pt idx="7">
                  <c:v>217305.0</c:v>
                </c:pt>
                <c:pt idx="8">
                  <c:v>246689.0</c:v>
                </c:pt>
                <c:pt idx="9">
                  <c:v>206088.0</c:v>
                </c:pt>
                <c:pt idx="10">
                  <c:v>190206.0</c:v>
                </c:pt>
              </c:numCache>
            </c:numRef>
          </c:val>
        </c:ser>
        <c:ser>
          <c:idx val="1"/>
          <c:order val="1"/>
          <c:tx>
            <c:strRef>
              <c:f>data!$L$234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data!$L$235:$L$245</c:f>
              <c:numCache>
                <c:formatCode>General</c:formatCode>
                <c:ptCount val="11"/>
                <c:pt idx="0">
                  <c:v>1.607037E6</c:v>
                </c:pt>
                <c:pt idx="1">
                  <c:v>1.636681E6</c:v>
                </c:pt>
                <c:pt idx="2">
                  <c:v>3.472493E6</c:v>
                </c:pt>
                <c:pt idx="3">
                  <c:v>5.690078E6</c:v>
                </c:pt>
                <c:pt idx="4">
                  <c:v>7.011266E6</c:v>
                </c:pt>
                <c:pt idx="5">
                  <c:v>7.63159E6</c:v>
                </c:pt>
                <c:pt idx="6">
                  <c:v>9.7351E6</c:v>
                </c:pt>
                <c:pt idx="7">
                  <c:v>1.0234228E7</c:v>
                </c:pt>
                <c:pt idx="8">
                  <c:v>6.004302E6</c:v>
                </c:pt>
                <c:pt idx="9">
                  <c:v>2.180301E6</c:v>
                </c:pt>
                <c:pt idx="10">
                  <c:v>1.902393E6</c:v>
                </c:pt>
              </c:numCache>
            </c:numRef>
          </c:val>
        </c:ser>
        <c:ser>
          <c:idx val="2"/>
          <c:order val="2"/>
          <c:tx>
            <c:strRef>
              <c:f>data!$M$234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data!$M$235:$M$245</c:f>
              <c:numCache>
                <c:formatCode>General</c:formatCode>
                <c:ptCount val="11"/>
                <c:pt idx="0">
                  <c:v>78948.0</c:v>
                </c:pt>
                <c:pt idx="1">
                  <c:v>82771.0</c:v>
                </c:pt>
                <c:pt idx="2">
                  <c:v>80801.0</c:v>
                </c:pt>
                <c:pt idx="3">
                  <c:v>81529.0</c:v>
                </c:pt>
                <c:pt idx="4">
                  <c:v>108531.0</c:v>
                </c:pt>
                <c:pt idx="5">
                  <c:v>120292.0</c:v>
                </c:pt>
                <c:pt idx="6">
                  <c:v>125907.0</c:v>
                </c:pt>
                <c:pt idx="7">
                  <c:v>120646.0</c:v>
                </c:pt>
                <c:pt idx="8">
                  <c:v>141377.0</c:v>
                </c:pt>
                <c:pt idx="9">
                  <c:v>128457.0</c:v>
                </c:pt>
                <c:pt idx="10">
                  <c:v>118779.0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659008"/>
        <c:axId val="815758576"/>
      </c:barChart>
      <c:catAx>
        <c:axId val="81965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758576"/>
        <c:crosses val="autoZero"/>
        <c:auto val="1"/>
        <c:lblAlgn val="ctr"/>
        <c:lblOffset val="100"/>
        <c:noMultiLvlLbl val="0"/>
      </c:catAx>
      <c:valAx>
        <c:axId val="8157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65900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5"/>
          <c:y val="0.167898975762826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Summary_data!$G$21:$G$31</c:f>
              <c:numCache>
                <c:formatCode>_(* #,##0.0_);_(* \(#,##0.0\);_(* "-"??_);_(@_)</c:formatCode>
                <c:ptCount val="11"/>
                <c:pt idx="0">
                  <c:v>22.91734</c:v>
                </c:pt>
                <c:pt idx="1">
                  <c:v>38.74758</c:v>
                </c:pt>
                <c:pt idx="2">
                  <c:v>54.500664</c:v>
                </c:pt>
                <c:pt idx="3">
                  <c:v>84.223158</c:v>
                </c:pt>
                <c:pt idx="4">
                  <c:v>133.841386</c:v>
                </c:pt>
                <c:pt idx="5">
                  <c:v>168.676747</c:v>
                </c:pt>
                <c:pt idx="6">
                  <c:v>209.906859</c:v>
                </c:pt>
                <c:pt idx="7">
                  <c:v>283.255958</c:v>
                </c:pt>
                <c:pt idx="8">
                  <c:v>405.060654</c:v>
                </c:pt>
                <c:pt idx="9">
                  <c:v>409.163992</c:v>
                </c:pt>
                <c:pt idx="10">
                  <c:v>257.503303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01712"/>
        <c:axId val="820305104"/>
      </c:barChart>
      <c:catAx>
        <c:axId val="82030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305104"/>
        <c:crosses val="autoZero"/>
        <c:auto val="1"/>
        <c:lblAlgn val="ctr"/>
        <c:lblOffset val="100"/>
        <c:noMultiLvlLbl val="0"/>
      </c:catAx>
      <c:valAx>
        <c:axId val="82030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301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data!$F$157:$F$166</c:f>
              <c:numCache>
                <c:formatCode>_(* #,##0.00_);_(* \(#,##0.00\);_(* "-"??_);_(@_)</c:formatCode>
                <c:ptCount val="10"/>
                <c:pt idx="0">
                  <c:v>3.435041015625</c:v>
                </c:pt>
                <c:pt idx="1">
                  <c:v>5.333</c:v>
                </c:pt>
                <c:pt idx="2">
                  <c:v>6.824234375</c:v>
                </c:pt>
                <c:pt idx="3">
                  <c:v>6.423197265625</c:v>
                </c:pt>
                <c:pt idx="4">
                  <c:v>7.087626953125</c:v>
                </c:pt>
                <c:pt idx="5">
                  <c:v>9.537060546875001</c:v>
                </c:pt>
                <c:pt idx="6">
                  <c:v>8.80790553543101</c:v>
                </c:pt>
                <c:pt idx="7">
                  <c:v>9.89509765625</c:v>
                </c:pt>
                <c:pt idx="8">
                  <c:v>13.584150390625</c:v>
                </c:pt>
                <c:pt idx="9">
                  <c:v>16.09703125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730528"/>
        <c:axId val="820734560"/>
      </c:barChart>
      <c:catAx>
        <c:axId val="8207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734560"/>
        <c:crosses val="autoZero"/>
        <c:auto val="1"/>
        <c:lblAlgn val="ctr"/>
        <c:lblOffset val="100"/>
        <c:noMultiLvlLbl val="0"/>
      </c:catAx>
      <c:valAx>
        <c:axId val="820734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7305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7759005323"/>
          <c:y val="0.149019436690409"/>
          <c:w val="0.860705078437483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data!$F$169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data!$F$170:$F$179</c:f>
              <c:numCache>
                <c:formatCode>0.0%</c:formatCode>
                <c:ptCount val="10"/>
                <c:pt idx="1">
                  <c:v>0.153654898060666</c:v>
                </c:pt>
                <c:pt idx="2">
                  <c:v>0.154731090020132</c:v>
                </c:pt>
                <c:pt idx="3">
                  <c:v>0.181759379042691</c:v>
                </c:pt>
                <c:pt idx="4">
                  <c:v>0.180184331797235</c:v>
                </c:pt>
                <c:pt idx="5">
                  <c:v>0.20057361376673</c:v>
                </c:pt>
                <c:pt idx="6">
                  <c:v>0.214207848837209</c:v>
                </c:pt>
                <c:pt idx="7">
                  <c:v>0.195926680244399</c:v>
                </c:pt>
                <c:pt idx="8">
                  <c:v>0.10375166002656</c:v>
                </c:pt>
                <c:pt idx="9">
                  <c:v>0.15262592428743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52768"/>
        <c:axId val="820756800"/>
      </c:lineChart>
      <c:catAx>
        <c:axId val="8207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756800"/>
        <c:crosses val="autoZero"/>
        <c:auto val="1"/>
        <c:lblAlgn val="ctr"/>
        <c:lblOffset val="100"/>
        <c:noMultiLvlLbl val="0"/>
      </c:catAx>
      <c:valAx>
        <c:axId val="820756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7527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1"/>
          <c:y val="0.143607581541664"/>
          <c:w val="0.808528790253727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data!$N$235:$N$245</c:f>
              <c:numCache>
                <c:formatCode>General</c:formatCode>
                <c:ptCount val="11"/>
                <c:pt idx="2">
                  <c:v>3563.0</c:v>
                </c:pt>
                <c:pt idx="3">
                  <c:v>5044.0</c:v>
                </c:pt>
                <c:pt idx="4">
                  <c:v>4566.0</c:v>
                </c:pt>
                <c:pt idx="5">
                  <c:v>6236.0</c:v>
                </c:pt>
                <c:pt idx="6">
                  <c:v>7576.0</c:v>
                </c:pt>
                <c:pt idx="7">
                  <c:v>8071.0</c:v>
                </c:pt>
                <c:pt idx="8">
                  <c:v>10494.0</c:v>
                </c:pt>
                <c:pt idx="9">
                  <c:v>17347.0</c:v>
                </c:pt>
                <c:pt idx="10">
                  <c:v>23160.0</c:v>
                </c:pt>
              </c:numCache>
            </c:numRef>
          </c:val>
        </c:ser>
        <c:ser>
          <c:idx val="1"/>
          <c:order val="1"/>
          <c:tx>
            <c:strRef>
              <c:f>data!$O$234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data!$O$235:$O$245</c:f>
              <c:numCache>
                <c:formatCode>General</c:formatCode>
                <c:ptCount val="11"/>
                <c:pt idx="2">
                  <c:v>25293.0</c:v>
                </c:pt>
                <c:pt idx="3">
                  <c:v>37090.0</c:v>
                </c:pt>
                <c:pt idx="4">
                  <c:v>143683.0</c:v>
                </c:pt>
                <c:pt idx="5">
                  <c:v>50572.0</c:v>
                </c:pt>
                <c:pt idx="6">
                  <c:v>62644.0</c:v>
                </c:pt>
                <c:pt idx="7">
                  <c:v>70567.0</c:v>
                </c:pt>
                <c:pt idx="8">
                  <c:v>102909.0</c:v>
                </c:pt>
                <c:pt idx="9">
                  <c:v>140576.0</c:v>
                </c:pt>
                <c:pt idx="10">
                  <c:v>392057.0</c:v>
                </c:pt>
              </c:numCache>
            </c:numRef>
          </c:val>
        </c:ser>
        <c:ser>
          <c:idx val="2"/>
          <c:order val="2"/>
          <c:tx>
            <c:strRef>
              <c:f>data!$P$234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data!$P$235:$P$245</c:f>
              <c:numCache>
                <c:formatCode>General</c:formatCode>
                <c:ptCount val="11"/>
                <c:pt idx="2">
                  <c:v>2011.0</c:v>
                </c:pt>
                <c:pt idx="3">
                  <c:v>3477.0</c:v>
                </c:pt>
                <c:pt idx="4">
                  <c:v>3092.0</c:v>
                </c:pt>
                <c:pt idx="5">
                  <c:v>4606.0</c:v>
                </c:pt>
                <c:pt idx="6">
                  <c:v>5560.0</c:v>
                </c:pt>
                <c:pt idx="7">
                  <c:v>5858.0</c:v>
                </c:pt>
                <c:pt idx="8">
                  <c:v>7365.0</c:v>
                </c:pt>
                <c:pt idx="9">
                  <c:v>12048.0</c:v>
                </c:pt>
                <c:pt idx="10">
                  <c:v>15823.0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785216"/>
        <c:axId val="820789248"/>
      </c:barChart>
      <c:catAx>
        <c:axId val="82078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09977849088459"/>
              <c:y val="0.9211047135142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789248"/>
        <c:crosses val="autoZero"/>
        <c:auto val="1"/>
        <c:lblAlgn val="ctr"/>
        <c:lblOffset val="100"/>
        <c:noMultiLvlLbl val="0"/>
      </c:catAx>
      <c:valAx>
        <c:axId val="82078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7852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1554635548734"/>
          <c:y val="0.159081237982508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data!$B$169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data!$B$170:$B$179</c:f>
              <c:numCache>
                <c:formatCode>0.0%</c:formatCode>
                <c:ptCount val="10"/>
                <c:pt idx="0">
                  <c:v>0.00265761416840553</c:v>
                </c:pt>
                <c:pt idx="1">
                  <c:v>0.00301169191574542</c:v>
                </c:pt>
                <c:pt idx="2">
                  <c:v>0.00423653470015694</c:v>
                </c:pt>
                <c:pt idx="3">
                  <c:v>0.00180405913304936</c:v>
                </c:pt>
                <c:pt idx="4">
                  <c:v>0.0053350104639941</c:v>
                </c:pt>
                <c:pt idx="5">
                  <c:v>0.00722001006911071</c:v>
                </c:pt>
                <c:pt idx="6">
                  <c:v>0.0130802587616407</c:v>
                </c:pt>
                <c:pt idx="7">
                  <c:v>0.00930635515063439</c:v>
                </c:pt>
                <c:pt idx="8">
                  <c:v>0.00891962059481274</c:v>
                </c:pt>
                <c:pt idx="9">
                  <c:v>0.00871284229023283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265232"/>
        <c:axId val="814268624"/>
      </c:lineChart>
      <c:catAx>
        <c:axId val="81426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4268624"/>
        <c:crosses val="autoZero"/>
        <c:auto val="1"/>
        <c:lblAlgn val="ctr"/>
        <c:lblOffset val="100"/>
        <c:noMultiLvlLbl val="0"/>
      </c:catAx>
      <c:valAx>
        <c:axId val="814268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14265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Summary_data!$H$21:$H$31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10.177527</c:v>
                </c:pt>
                <c:pt idx="2">
                  <c:v>5.677475</c:v>
                </c:pt>
                <c:pt idx="3">
                  <c:v>0.659405</c:v>
                </c:pt>
                <c:pt idx="4">
                  <c:v>0.720133</c:v>
                </c:pt>
                <c:pt idx="5">
                  <c:v>0.791085</c:v>
                </c:pt>
                <c:pt idx="6">
                  <c:v>4.434948</c:v>
                </c:pt>
                <c:pt idx="7">
                  <c:v>4.498352</c:v>
                </c:pt>
                <c:pt idx="8">
                  <c:v>6.384325</c:v>
                </c:pt>
                <c:pt idx="9">
                  <c:v>3.932989</c:v>
                </c:pt>
                <c:pt idx="10">
                  <c:v>6.87018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10672"/>
        <c:axId val="820814704"/>
      </c:barChart>
      <c:catAx>
        <c:axId val="82081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14704"/>
        <c:crosses val="autoZero"/>
        <c:auto val="1"/>
        <c:lblAlgn val="ctr"/>
        <c:lblOffset val="100"/>
        <c:noMultiLvlLbl val="0"/>
      </c:catAx>
      <c:valAx>
        <c:axId val="82081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106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data!$G$157:$G$166</c:f>
              <c:numCache>
                <c:formatCode>_(* #,##0.00_);_(* \(#,##0.00\);_(* "-"??_);_(@_)</c:formatCode>
                <c:ptCount val="10"/>
                <c:pt idx="0">
                  <c:v>1761.525625</c:v>
                </c:pt>
                <c:pt idx="1">
                  <c:v>759.511</c:v>
                </c:pt>
                <c:pt idx="2">
                  <c:v>822.252681640625</c:v>
                </c:pt>
                <c:pt idx="3">
                  <c:v>898.9502607421875</c:v>
                </c:pt>
                <c:pt idx="4">
                  <c:v>954.17966796875</c:v>
                </c:pt>
                <c:pt idx="5">
                  <c:v>1066.3169921875</c:v>
                </c:pt>
                <c:pt idx="6">
                  <c:v>1131.10583368518</c:v>
                </c:pt>
                <c:pt idx="7">
                  <c:v>2468.4033984375</c:v>
                </c:pt>
                <c:pt idx="8">
                  <c:v>2933.262939453125</c:v>
                </c:pt>
                <c:pt idx="9">
                  <c:v>3104.99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66800"/>
        <c:axId val="820870832"/>
      </c:barChart>
      <c:catAx>
        <c:axId val="82086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70832"/>
        <c:crosses val="autoZero"/>
        <c:auto val="1"/>
        <c:lblAlgn val="ctr"/>
        <c:lblOffset val="100"/>
        <c:noMultiLvlLbl val="0"/>
      </c:catAx>
      <c:valAx>
        <c:axId val="820870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66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4"/>
          <c:y val="0.149019502160419"/>
          <c:w val="0.839465925789318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data!$G$169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data!$G$170:$G$179</c:f>
              <c:numCache>
                <c:formatCode>0.0%</c:formatCode>
                <c:ptCount val="10"/>
                <c:pt idx="0">
                  <c:v>0.0364664848186737</c:v>
                </c:pt>
                <c:pt idx="1">
                  <c:v>0.0803392355738926</c:v>
                </c:pt>
                <c:pt idx="2">
                  <c:v>0.134441743358222</c:v>
                </c:pt>
                <c:pt idx="3">
                  <c:v>0.0379284626619845</c:v>
                </c:pt>
                <c:pt idx="4">
                  <c:v>0.0457250317260969</c:v>
                </c:pt>
                <c:pt idx="5">
                  <c:v>0.179767925448618</c:v>
                </c:pt>
                <c:pt idx="6">
                  <c:v>0.192102735490322</c:v>
                </c:pt>
                <c:pt idx="7">
                  <c:v>0.181175789168839</c:v>
                </c:pt>
                <c:pt idx="8">
                  <c:v>0.247751927168719</c:v>
                </c:pt>
                <c:pt idx="9">
                  <c:v>0.322840285361737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892160"/>
        <c:axId val="820896192"/>
      </c:lineChart>
      <c:catAx>
        <c:axId val="8208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96192"/>
        <c:crosses val="autoZero"/>
        <c:auto val="1"/>
        <c:lblAlgn val="ctr"/>
        <c:lblOffset val="100"/>
        <c:noMultiLvlLbl val="0"/>
      </c:catAx>
      <c:valAx>
        <c:axId val="820896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8921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data!$Q$235:$Q$245</c:f>
              <c:numCache>
                <c:formatCode>General</c:formatCode>
                <c:ptCount val="11"/>
                <c:pt idx="0">
                  <c:v>74193.0</c:v>
                </c:pt>
                <c:pt idx="1">
                  <c:v>78161.0</c:v>
                </c:pt>
                <c:pt idx="2">
                  <c:v>53247.0</c:v>
                </c:pt>
                <c:pt idx="3">
                  <c:v>35281.0</c:v>
                </c:pt>
                <c:pt idx="4">
                  <c:v>94768.0</c:v>
                </c:pt>
                <c:pt idx="5">
                  <c:v>205451.0</c:v>
                </c:pt>
                <c:pt idx="6">
                  <c:v>127574.0</c:v>
                </c:pt>
                <c:pt idx="7">
                  <c:v>119538.0</c:v>
                </c:pt>
                <c:pt idx="8">
                  <c:v>140454.0</c:v>
                </c:pt>
                <c:pt idx="9">
                  <c:v>189171.0</c:v>
                </c:pt>
                <c:pt idx="10">
                  <c:v>195153.0</c:v>
                </c:pt>
              </c:numCache>
            </c:numRef>
          </c:val>
        </c:ser>
        <c:ser>
          <c:idx val="1"/>
          <c:order val="1"/>
          <c:tx>
            <c:strRef>
              <c:f>data!$R$234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data!$R$235:$R$245</c:f>
              <c:numCache>
                <c:formatCode>General</c:formatCode>
                <c:ptCount val="11"/>
                <c:pt idx="0">
                  <c:v>735937.0</c:v>
                </c:pt>
                <c:pt idx="1">
                  <c:v>757185.0</c:v>
                </c:pt>
                <c:pt idx="2">
                  <c:v>377739.0</c:v>
                </c:pt>
                <c:pt idx="3">
                  <c:v>251786.0</c:v>
                </c:pt>
                <c:pt idx="4">
                  <c:v>915566.0</c:v>
                </c:pt>
                <c:pt idx="5">
                  <c:v>1.386094E6</c:v>
                </c:pt>
                <c:pt idx="6">
                  <c:v>958322.0</c:v>
                </c:pt>
                <c:pt idx="7">
                  <c:v>744359.0</c:v>
                </c:pt>
                <c:pt idx="8">
                  <c:v>865811.0</c:v>
                </c:pt>
                <c:pt idx="9">
                  <c:v>1.096949E6</c:v>
                </c:pt>
                <c:pt idx="10">
                  <c:v>1.059513E6</c:v>
                </c:pt>
              </c:numCache>
            </c:numRef>
          </c:val>
        </c:ser>
        <c:ser>
          <c:idx val="2"/>
          <c:order val="2"/>
          <c:tx>
            <c:strRef>
              <c:f>data!$S$234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data!$S$235:$S$245</c:f>
              <c:numCache>
                <c:formatCode>General</c:formatCode>
                <c:ptCount val="11"/>
                <c:pt idx="0">
                  <c:v>41991.0</c:v>
                </c:pt>
                <c:pt idx="1">
                  <c:v>44726.0</c:v>
                </c:pt>
                <c:pt idx="2">
                  <c:v>34902.0</c:v>
                </c:pt>
                <c:pt idx="3">
                  <c:v>23036.0</c:v>
                </c:pt>
                <c:pt idx="4">
                  <c:v>64358.0</c:v>
                </c:pt>
                <c:pt idx="5">
                  <c:v>164546.0</c:v>
                </c:pt>
                <c:pt idx="6">
                  <c:v>89098.0</c:v>
                </c:pt>
                <c:pt idx="7">
                  <c:v>86934.0</c:v>
                </c:pt>
                <c:pt idx="8">
                  <c:v>103590.0</c:v>
                </c:pt>
                <c:pt idx="9">
                  <c:v>143345.0</c:v>
                </c:pt>
                <c:pt idx="10">
                  <c:v>141014.0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924288"/>
        <c:axId val="820928320"/>
      </c:barChart>
      <c:catAx>
        <c:axId val="82092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928320"/>
        <c:crosses val="autoZero"/>
        <c:auto val="1"/>
        <c:lblAlgn val="ctr"/>
        <c:lblOffset val="100"/>
        <c:noMultiLvlLbl val="0"/>
      </c:catAx>
      <c:valAx>
        <c:axId val="8209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9242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"/>
          <c:y val="0.163551181102362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Summary_data!$I$21:$I$31</c:f>
              <c:numCache>
                <c:formatCode>_(* #,##0.0_);_(* \(#,##0.0\);_(* "-"??_);_(@_)</c:formatCode>
                <c:ptCount val="11"/>
                <c:pt idx="0">
                  <c:v>0.148617</c:v>
                </c:pt>
                <c:pt idx="1">
                  <c:v>16.757476</c:v>
                </c:pt>
                <c:pt idx="2">
                  <c:v>38.827043</c:v>
                </c:pt>
                <c:pt idx="3">
                  <c:v>51.945273</c:v>
                </c:pt>
                <c:pt idx="4">
                  <c:v>63.965963</c:v>
                </c:pt>
                <c:pt idx="5">
                  <c:v>70.588599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163.276446</c:v>
                </c:pt>
                <c:pt idx="9">
                  <c:v>174.590976</c:v>
                </c:pt>
                <c:pt idx="10">
                  <c:v>208.186137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49344"/>
        <c:axId val="820953376"/>
      </c:barChart>
      <c:catAx>
        <c:axId val="82094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953376"/>
        <c:crosses val="autoZero"/>
        <c:auto val="1"/>
        <c:lblAlgn val="ctr"/>
        <c:lblOffset val="100"/>
        <c:noMultiLvlLbl val="0"/>
      </c:catAx>
      <c:valAx>
        <c:axId val="82095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9493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MODAPS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data!$H$157:$H$166</c:f>
              <c:numCache>
                <c:formatCode>_(* #,##0.00_);_(* \(#,##0.00\);_(* "-"??_);_(@_)</c:formatCode>
                <c:ptCount val="10"/>
                <c:pt idx="0">
                  <c:v>180.68916015625</c:v>
                </c:pt>
                <c:pt idx="1">
                  <c:v>392.526</c:v>
                </c:pt>
                <c:pt idx="2">
                  <c:v>768.3358173828125</c:v>
                </c:pt>
                <c:pt idx="3">
                  <c:v>882.0893359375</c:v>
                </c:pt>
                <c:pt idx="4">
                  <c:v>1159.65796875</c:v>
                </c:pt>
                <c:pt idx="5">
                  <c:v>1543.923642578125</c:v>
                </c:pt>
                <c:pt idx="6">
                  <c:v>2298.74383585837</c:v>
                </c:pt>
                <c:pt idx="7">
                  <c:v>5265.469599609375</c:v>
                </c:pt>
                <c:pt idx="8">
                  <c:v>6075.106201171874</c:v>
                </c:pt>
                <c:pt idx="9">
                  <c:v>5817.73478515625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91520"/>
        <c:axId val="820995552"/>
      </c:barChart>
      <c:catAx>
        <c:axId val="8209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995552"/>
        <c:crosses val="autoZero"/>
        <c:auto val="1"/>
        <c:lblAlgn val="ctr"/>
        <c:lblOffset val="100"/>
        <c:noMultiLvlLbl val="0"/>
      </c:catAx>
      <c:valAx>
        <c:axId val="820995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9915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9"/>
          <c:y val="0.149019502160419"/>
          <c:w val="0.854465924945673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data!$H$169</c:f>
              <c:strCache>
                <c:ptCount val="1"/>
                <c:pt idx="0">
                  <c:v>MODAPS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data!$H$170:$H$179</c:f>
              <c:numCache>
                <c:formatCode>0.0%</c:formatCode>
                <c:ptCount val="10"/>
                <c:pt idx="0">
                  <c:v>0.376121401472885</c:v>
                </c:pt>
                <c:pt idx="1">
                  <c:v>0.305810397553517</c:v>
                </c:pt>
                <c:pt idx="2">
                  <c:v>0.315781032823693</c:v>
                </c:pt>
                <c:pt idx="3">
                  <c:v>0.0433802627373804</c:v>
                </c:pt>
                <c:pt idx="4">
                  <c:v>0.0438543625084342</c:v>
                </c:pt>
                <c:pt idx="5">
                  <c:v>0.0580265320114486</c:v>
                </c:pt>
                <c:pt idx="6">
                  <c:v>0.0817910670693285</c:v>
                </c:pt>
                <c:pt idx="7">
                  <c:v>0.074258150022376</c:v>
                </c:pt>
                <c:pt idx="8">
                  <c:v>0.0497829890699207</c:v>
                </c:pt>
                <c:pt idx="9">
                  <c:v>0.0446724415412288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016240"/>
        <c:axId val="838862512"/>
      </c:lineChart>
      <c:catAx>
        <c:axId val="82101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862512"/>
        <c:crosses val="autoZero"/>
        <c:auto val="1"/>
        <c:lblAlgn val="ctr"/>
        <c:lblOffset val="100"/>
        <c:noMultiLvlLbl val="0"/>
      </c:catAx>
      <c:valAx>
        <c:axId val="838862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016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data!$T$235:$T$245</c:f>
              <c:numCache>
                <c:formatCode>General</c:formatCode>
                <c:ptCount val="11"/>
                <c:pt idx="0">
                  <c:v>53574.0</c:v>
                </c:pt>
                <c:pt idx="1">
                  <c:v>64290.0</c:v>
                </c:pt>
                <c:pt idx="2">
                  <c:v>74206.0</c:v>
                </c:pt>
                <c:pt idx="3">
                  <c:v>87176.0</c:v>
                </c:pt>
                <c:pt idx="4">
                  <c:v>230192.0</c:v>
                </c:pt>
                <c:pt idx="5">
                  <c:v>652612.0</c:v>
                </c:pt>
                <c:pt idx="6">
                  <c:v>605342.0</c:v>
                </c:pt>
                <c:pt idx="7">
                  <c:v>466031.0</c:v>
                </c:pt>
                <c:pt idx="8">
                  <c:v>443373.0</c:v>
                </c:pt>
                <c:pt idx="9">
                  <c:v>412847.0</c:v>
                </c:pt>
                <c:pt idx="10">
                  <c:v>301594.0</c:v>
                </c:pt>
              </c:numCache>
            </c:numRef>
          </c:val>
        </c:ser>
        <c:ser>
          <c:idx val="1"/>
          <c:order val="1"/>
          <c:tx>
            <c:strRef>
              <c:f>data!$U$234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data!$U$235:$U$245</c:f>
              <c:numCache>
                <c:formatCode>General</c:formatCode>
                <c:ptCount val="11"/>
                <c:pt idx="0">
                  <c:v>979938.0</c:v>
                </c:pt>
                <c:pt idx="1">
                  <c:v>1.137682E6</c:v>
                </c:pt>
                <c:pt idx="2">
                  <c:v>1.298537E6</c:v>
                </c:pt>
                <c:pt idx="3">
                  <c:v>1.513257E6</c:v>
                </c:pt>
                <c:pt idx="4">
                  <c:v>3.059401E6</c:v>
                </c:pt>
                <c:pt idx="5">
                  <c:v>7.811167E6</c:v>
                </c:pt>
                <c:pt idx="6">
                  <c:v>7.137162E6</c:v>
                </c:pt>
                <c:pt idx="7">
                  <c:v>5.830786E6</c:v>
                </c:pt>
                <c:pt idx="8">
                  <c:v>5.429821E6</c:v>
                </c:pt>
                <c:pt idx="9">
                  <c:v>4.971411E6</c:v>
                </c:pt>
                <c:pt idx="10">
                  <c:v>3.294341E6</c:v>
                </c:pt>
              </c:numCache>
            </c:numRef>
          </c:val>
        </c:ser>
        <c:ser>
          <c:idx val="2"/>
          <c:order val="2"/>
          <c:tx>
            <c:strRef>
              <c:f>data!$V$234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data!$V$235:$V$245</c:f>
              <c:numCache>
                <c:formatCode>General</c:formatCode>
                <c:ptCount val="11"/>
                <c:pt idx="0">
                  <c:v>17740.0</c:v>
                </c:pt>
                <c:pt idx="1">
                  <c:v>22482.0</c:v>
                </c:pt>
                <c:pt idx="2">
                  <c:v>29103.0</c:v>
                </c:pt>
                <c:pt idx="3">
                  <c:v>37412.0</c:v>
                </c:pt>
                <c:pt idx="4">
                  <c:v>118902.0</c:v>
                </c:pt>
                <c:pt idx="5">
                  <c:v>343312.0</c:v>
                </c:pt>
                <c:pt idx="6">
                  <c:v>310180.0</c:v>
                </c:pt>
                <c:pt idx="7">
                  <c:v>244340.0</c:v>
                </c:pt>
                <c:pt idx="8">
                  <c:v>232392.0</c:v>
                </c:pt>
                <c:pt idx="9">
                  <c:v>220035.0</c:v>
                </c:pt>
                <c:pt idx="10">
                  <c:v>169008.0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890528"/>
        <c:axId val="838894560"/>
      </c:barChart>
      <c:catAx>
        <c:axId val="83889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894560"/>
        <c:crosses val="autoZero"/>
        <c:auto val="1"/>
        <c:lblAlgn val="ctr"/>
        <c:lblOffset val="100"/>
        <c:noMultiLvlLbl val="0"/>
      </c:catAx>
      <c:valAx>
        <c:axId val="83889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8905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"/>
          <c:y val="0.163551181102362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MODAPS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Summary_data!$J$21:$J$31</c:f>
              <c:numCache>
                <c:formatCode>_(* #,##0.0_);_(* \(#,##0.0\);_(* "-"??_);_(@_)</c:formatCode>
                <c:ptCount val="11"/>
                <c:pt idx="0">
                  <c:v>33.570419</c:v>
                </c:pt>
                <c:pt idx="1">
                  <c:v>47.73614</c:v>
                </c:pt>
                <c:pt idx="2">
                  <c:v>47.205446</c:v>
                </c:pt>
                <c:pt idx="3">
                  <c:v>79.756398</c:v>
                </c:pt>
                <c:pt idx="4">
                  <c:v>98.766037</c:v>
                </c:pt>
                <c:pt idx="5">
                  <c:v>95.24611</c:v>
                </c:pt>
                <c:pt idx="6">
                  <c:v>135.286498</c:v>
                </c:pt>
                <c:pt idx="7">
                  <c:v>196.137679</c:v>
                </c:pt>
                <c:pt idx="8">
                  <c:v>360.644547</c:v>
                </c:pt>
                <c:pt idx="9">
                  <c:v>230.713118</c:v>
                </c:pt>
                <c:pt idx="10">
                  <c:v>107.761906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16080"/>
        <c:axId val="838920112"/>
      </c:barChart>
      <c:catAx>
        <c:axId val="83891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20112"/>
        <c:crosses val="autoZero"/>
        <c:auto val="1"/>
        <c:lblAlgn val="ctr"/>
        <c:lblOffset val="100"/>
        <c:noMultiLvlLbl val="0"/>
      </c:catAx>
      <c:valAx>
        <c:axId val="838920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16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data!$I$157:$I$166</c:f>
              <c:numCache>
                <c:formatCode>_(* #,##0.00_);_(* \(#,##0.00\);_(* "-"??_);_(@_)</c:formatCode>
                <c:ptCount val="10"/>
                <c:pt idx="0">
                  <c:v>125.360509765625</c:v>
                </c:pt>
                <c:pt idx="1">
                  <c:v>63.572</c:v>
                </c:pt>
                <c:pt idx="2">
                  <c:v>66.0579814453125</c:v>
                </c:pt>
                <c:pt idx="3">
                  <c:v>64.43147656249999</c:v>
                </c:pt>
                <c:pt idx="4">
                  <c:v>63.890546875</c:v>
                </c:pt>
                <c:pt idx="5">
                  <c:v>108.343125</c:v>
                </c:pt>
                <c:pt idx="6">
                  <c:v>121.2857049915536</c:v>
                </c:pt>
                <c:pt idx="7">
                  <c:v>177.024482421875</c:v>
                </c:pt>
                <c:pt idx="8">
                  <c:v>277.420615234375</c:v>
                </c:pt>
                <c:pt idx="9">
                  <c:v>428.189697265625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59904"/>
        <c:axId val="838963936"/>
      </c:barChart>
      <c:catAx>
        <c:axId val="8389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63936"/>
        <c:crosses val="autoZero"/>
        <c:auto val="1"/>
        <c:lblAlgn val="ctr"/>
        <c:lblOffset val="100"/>
        <c:noMultiLvlLbl val="0"/>
      </c:catAx>
      <c:valAx>
        <c:axId val="838963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59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data!$B$235:$B$245</c:f>
              <c:numCache>
                <c:formatCode>General</c:formatCode>
                <c:ptCount val="11"/>
                <c:pt idx="0">
                  <c:v>125817.0</c:v>
                </c:pt>
                <c:pt idx="1">
                  <c:v>145765.0</c:v>
                </c:pt>
                <c:pt idx="2">
                  <c:v>160681.0</c:v>
                </c:pt>
                <c:pt idx="3">
                  <c:v>191478.0</c:v>
                </c:pt>
                <c:pt idx="4">
                  <c:v>199316.0</c:v>
                </c:pt>
                <c:pt idx="5">
                  <c:v>165200.0</c:v>
                </c:pt>
                <c:pt idx="6">
                  <c:v>159750.0</c:v>
                </c:pt>
                <c:pt idx="7">
                  <c:v>47436.0</c:v>
                </c:pt>
                <c:pt idx="8">
                  <c:v>52864.0</c:v>
                </c:pt>
                <c:pt idx="9">
                  <c:v>55046.0</c:v>
                </c:pt>
                <c:pt idx="10">
                  <c:v>58238.0</c:v>
                </c:pt>
              </c:numCache>
            </c:numRef>
          </c:val>
        </c:ser>
        <c:ser>
          <c:idx val="1"/>
          <c:order val="1"/>
          <c:tx>
            <c:strRef>
              <c:f>data!$C$234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data!$C$235:$C$245</c:f>
              <c:numCache>
                <c:formatCode>General</c:formatCode>
                <c:ptCount val="11"/>
                <c:pt idx="0">
                  <c:v>1.394032E6</c:v>
                </c:pt>
                <c:pt idx="1">
                  <c:v>1.613397E6</c:v>
                </c:pt>
                <c:pt idx="2">
                  <c:v>1.799677E6</c:v>
                </c:pt>
                <c:pt idx="3">
                  <c:v>2.205316E6</c:v>
                </c:pt>
                <c:pt idx="4">
                  <c:v>2.420483E6</c:v>
                </c:pt>
                <c:pt idx="5">
                  <c:v>1.743569E6</c:v>
                </c:pt>
                <c:pt idx="6">
                  <c:v>1.808786E6</c:v>
                </c:pt>
                <c:pt idx="7">
                  <c:v>483566.0</c:v>
                </c:pt>
                <c:pt idx="8">
                  <c:v>501339.0</c:v>
                </c:pt>
                <c:pt idx="9">
                  <c:v>542003.0</c:v>
                </c:pt>
                <c:pt idx="10">
                  <c:v>551711.0</c:v>
                </c:pt>
              </c:numCache>
            </c:numRef>
          </c:val>
        </c:ser>
        <c:ser>
          <c:idx val="2"/>
          <c:order val="2"/>
          <c:tx>
            <c:strRef>
              <c:f>data!$D$234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data!$D$235:$D$245</c:f>
              <c:numCache>
                <c:formatCode>General</c:formatCode>
                <c:ptCount val="11"/>
                <c:pt idx="0">
                  <c:v>84470.0</c:v>
                </c:pt>
                <c:pt idx="1">
                  <c:v>96327.0</c:v>
                </c:pt>
                <c:pt idx="2">
                  <c:v>109905.0</c:v>
                </c:pt>
                <c:pt idx="3">
                  <c:v>129351.0</c:v>
                </c:pt>
                <c:pt idx="4">
                  <c:v>139685.0</c:v>
                </c:pt>
                <c:pt idx="5">
                  <c:v>106536.0</c:v>
                </c:pt>
                <c:pt idx="6">
                  <c:v>100981.0</c:v>
                </c:pt>
                <c:pt idx="7">
                  <c:v>31305.0</c:v>
                </c:pt>
                <c:pt idx="8">
                  <c:v>35782.0</c:v>
                </c:pt>
                <c:pt idx="9">
                  <c:v>38903.0</c:v>
                </c:pt>
                <c:pt idx="10">
                  <c:v>40974.0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296592"/>
        <c:axId val="814299984"/>
      </c:barChart>
      <c:catAx>
        <c:axId val="81429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299984"/>
        <c:crosses val="autoZero"/>
        <c:auto val="1"/>
        <c:lblAlgn val="ctr"/>
        <c:lblOffset val="100"/>
        <c:noMultiLvlLbl val="0"/>
      </c:catAx>
      <c:valAx>
        <c:axId val="8142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2965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7"/>
          <c:y val="0.172369068950795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data!$I$169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data!$I$170:$I$179</c:f>
              <c:numCache>
                <c:formatCode>0.0%</c:formatCode>
                <c:ptCount val="10"/>
                <c:pt idx="0">
                  <c:v>0.0221012376522551</c:v>
                </c:pt>
                <c:pt idx="1">
                  <c:v>0.0039931447566699</c:v>
                </c:pt>
                <c:pt idx="2">
                  <c:v>0.00679069281773725</c:v>
                </c:pt>
                <c:pt idx="3">
                  <c:v>0.00149998085871294</c:v>
                </c:pt>
                <c:pt idx="4">
                  <c:v>0.0195307654876967</c:v>
                </c:pt>
                <c:pt idx="5">
                  <c:v>0.00762609094337268</c:v>
                </c:pt>
                <c:pt idx="6">
                  <c:v>0.0228729500299192</c:v>
                </c:pt>
                <c:pt idx="7">
                  <c:v>0.0222099250973339</c:v>
                </c:pt>
                <c:pt idx="8">
                  <c:v>0.0210628645495787</c:v>
                </c:pt>
                <c:pt idx="9">
                  <c:v>0.0285471371683656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984512"/>
        <c:axId val="838988544"/>
      </c:lineChart>
      <c:catAx>
        <c:axId val="83898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88544"/>
        <c:crosses val="autoZero"/>
        <c:auto val="1"/>
        <c:lblAlgn val="ctr"/>
        <c:lblOffset val="100"/>
        <c:noMultiLvlLbl val="0"/>
      </c:catAx>
      <c:valAx>
        <c:axId val="838988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89845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data!$W$235:$W$245</c:f>
              <c:numCache>
                <c:formatCode>General</c:formatCode>
                <c:ptCount val="11"/>
                <c:pt idx="0">
                  <c:v>257646.0</c:v>
                </c:pt>
                <c:pt idx="1">
                  <c:v>347349.0</c:v>
                </c:pt>
                <c:pt idx="2">
                  <c:v>440891.0</c:v>
                </c:pt>
                <c:pt idx="3">
                  <c:v>435375.0</c:v>
                </c:pt>
                <c:pt idx="4">
                  <c:v>425601.0</c:v>
                </c:pt>
                <c:pt idx="5">
                  <c:v>536704.0</c:v>
                </c:pt>
                <c:pt idx="6">
                  <c:v>629406.0</c:v>
                </c:pt>
                <c:pt idx="7">
                  <c:v>645434.0</c:v>
                </c:pt>
                <c:pt idx="8">
                  <c:v>729565.0</c:v>
                </c:pt>
                <c:pt idx="9">
                  <c:v>766328.0</c:v>
                </c:pt>
                <c:pt idx="10">
                  <c:v>857579.0</c:v>
                </c:pt>
              </c:numCache>
            </c:numRef>
          </c:val>
        </c:ser>
        <c:ser>
          <c:idx val="1"/>
          <c:order val="1"/>
          <c:tx>
            <c:strRef>
              <c:f>data!$X$234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data!$X$235:$X$245</c:f>
              <c:numCache>
                <c:formatCode>General</c:formatCode>
                <c:ptCount val="11"/>
                <c:pt idx="0">
                  <c:v>2.285747E6</c:v>
                </c:pt>
                <c:pt idx="1">
                  <c:v>2.710866E6</c:v>
                </c:pt>
                <c:pt idx="2">
                  <c:v>3.202873E6</c:v>
                </c:pt>
                <c:pt idx="3">
                  <c:v>2.700947E6</c:v>
                </c:pt>
                <c:pt idx="4">
                  <c:v>3.745528E6</c:v>
                </c:pt>
                <c:pt idx="5">
                  <c:v>3.727105E6</c:v>
                </c:pt>
                <c:pt idx="6">
                  <c:v>3.935194E6</c:v>
                </c:pt>
                <c:pt idx="7">
                  <c:v>3.62918E6</c:v>
                </c:pt>
                <c:pt idx="8">
                  <c:v>4.032173E6</c:v>
                </c:pt>
                <c:pt idx="9">
                  <c:v>3.772779E6</c:v>
                </c:pt>
                <c:pt idx="10">
                  <c:v>4.071275E6</c:v>
                </c:pt>
              </c:numCache>
            </c:numRef>
          </c:val>
        </c:ser>
        <c:ser>
          <c:idx val="2"/>
          <c:order val="2"/>
          <c:tx>
            <c:strRef>
              <c:f>data!$Y$234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data!$Y$235:$Y$245</c:f>
              <c:numCache>
                <c:formatCode>General</c:formatCode>
                <c:ptCount val="11"/>
                <c:pt idx="0">
                  <c:v>187325.0</c:v>
                </c:pt>
                <c:pt idx="1">
                  <c:v>244569.0</c:v>
                </c:pt>
                <c:pt idx="2">
                  <c:v>289997.0</c:v>
                </c:pt>
                <c:pt idx="3">
                  <c:v>287305.0</c:v>
                </c:pt>
                <c:pt idx="4">
                  <c:v>287337.0</c:v>
                </c:pt>
                <c:pt idx="5">
                  <c:v>356268.0</c:v>
                </c:pt>
                <c:pt idx="6">
                  <c:v>416514.0</c:v>
                </c:pt>
                <c:pt idx="7">
                  <c:v>446833.0</c:v>
                </c:pt>
                <c:pt idx="8">
                  <c:v>505990.0</c:v>
                </c:pt>
                <c:pt idx="9">
                  <c:v>524620.0</c:v>
                </c:pt>
                <c:pt idx="10">
                  <c:v>572807.0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012896"/>
        <c:axId val="839016928"/>
      </c:barChart>
      <c:catAx>
        <c:axId val="83901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16928"/>
        <c:crosses val="autoZero"/>
        <c:auto val="1"/>
        <c:lblAlgn val="ctr"/>
        <c:lblOffset val="100"/>
        <c:noMultiLvlLbl val="0"/>
      </c:catAx>
      <c:valAx>
        <c:axId val="8390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1289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81922977410815"/>
          <c:y val="0.159081237982508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Summary_data!$K$21:$K$31</c:f>
              <c:numCache>
                <c:formatCode>_(* #,##0.0_);_(* \(#,##0.0\);_(* "-"??_);_(@_)</c:formatCode>
                <c:ptCount val="11"/>
                <c:pt idx="0">
                  <c:v>0.642341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22.897913</c:v>
                </c:pt>
                <c:pt idx="4">
                  <c:v>20.180632</c:v>
                </c:pt>
                <c:pt idx="5">
                  <c:v>24.339347</c:v>
                </c:pt>
                <c:pt idx="6">
                  <c:v>38.223085</c:v>
                </c:pt>
                <c:pt idx="7">
                  <c:v>67.730322</c:v>
                </c:pt>
                <c:pt idx="8">
                  <c:v>70.647366</c:v>
                </c:pt>
                <c:pt idx="9">
                  <c:v>82.18543200000001</c:v>
                </c:pt>
                <c:pt idx="10">
                  <c:v>102.272879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036944"/>
        <c:axId val="839040976"/>
      </c:barChart>
      <c:catAx>
        <c:axId val="83903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040976"/>
        <c:crosses val="autoZero"/>
        <c:auto val="1"/>
        <c:lblAlgn val="ctr"/>
        <c:lblOffset val="100"/>
        <c:noMultiLvlLbl val="0"/>
      </c:catAx>
      <c:valAx>
        <c:axId val="839040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0369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data!$J$157:$J$166</c:f>
              <c:numCache>
                <c:formatCode>_(* #,##0.00_);_(* \(#,##0.00\);_(* "-"??_);_(@_)</c:formatCode>
                <c:ptCount val="10"/>
                <c:pt idx="9">
                  <c:v>3445.943410873413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085488"/>
        <c:axId val="839089520"/>
      </c:barChart>
      <c:catAx>
        <c:axId val="83908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089520"/>
        <c:crosses val="autoZero"/>
        <c:auto val="1"/>
        <c:lblAlgn val="ctr"/>
        <c:lblOffset val="100"/>
        <c:noMultiLvlLbl val="0"/>
      </c:catAx>
      <c:valAx>
        <c:axId val="83908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085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lineChart>
        <c:grouping val="standard"/>
        <c:varyColors val="0"/>
        <c:ser>
          <c:idx val="8"/>
          <c:order val="0"/>
          <c:tx>
            <c:strRef>
              <c:f>data!$J$169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data!$J$170:$J$179</c:f>
              <c:numCache>
                <c:formatCode>0.0%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110816"/>
        <c:axId val="839114848"/>
      </c:lineChart>
      <c:catAx>
        <c:axId val="8391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114848"/>
        <c:crosses val="autoZero"/>
        <c:auto val="1"/>
        <c:lblAlgn val="ctr"/>
        <c:lblOffset val="100"/>
        <c:noMultiLvlLbl val="0"/>
      </c:catAx>
      <c:valAx>
        <c:axId val="839114848"/>
        <c:scaling>
          <c:orientation val="minMax"/>
          <c:max val="0.02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110816"/>
        <c:crosses val="autoZero"/>
        <c:crossBetween val="between"/>
        <c:majorUnit val="0.005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34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data!$A$234:$A$245</c:f>
              <c:strCache>
                <c:ptCount val="12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</c:strCache>
            </c:strRef>
          </c:cat>
          <c:val>
            <c:numRef>
              <c:f>data!$AJ$234:$AJ$245</c:f>
              <c:numCache>
                <c:formatCode>General</c:formatCode>
                <c:ptCount val="12"/>
              </c:numCache>
            </c:numRef>
          </c:val>
        </c:ser>
        <c:ser>
          <c:idx val="35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data!$A$234:$A$245</c:f>
              <c:strCache>
                <c:ptCount val="12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</c:strCache>
            </c:strRef>
          </c:cat>
          <c:val>
            <c:numRef>
              <c:f>data!$AK$234:$AK$245</c:f>
              <c:numCache>
                <c:formatCode>General</c:formatCode>
                <c:ptCount val="12"/>
              </c:numCache>
            </c:numRef>
          </c:val>
        </c:ser>
        <c:ser>
          <c:idx val="36"/>
          <c:order val="2"/>
          <c:invertIfNegative val="0"/>
          <c:cat>
            <c:strRef>
              <c:f>data!$A$234:$A$245</c:f>
              <c:strCache>
                <c:ptCount val="12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  <c:pt idx="11">
                  <c:v>FY17</c:v>
                </c:pt>
              </c:strCache>
            </c:strRef>
          </c:cat>
          <c:val>
            <c:numRef>
              <c:f>data!$AL$234:$AL$245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143440"/>
        <c:axId val="839147472"/>
      </c:barChart>
      <c:catAx>
        <c:axId val="83914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147472"/>
        <c:crosses val="autoZero"/>
        <c:auto val="1"/>
        <c:lblAlgn val="ctr"/>
        <c:lblOffset val="100"/>
        <c:noMultiLvlLbl val="0"/>
      </c:catAx>
      <c:valAx>
        <c:axId val="83914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14344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Summary_data!$L$21:$L$31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10.672894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</c:v>
                </c:pt>
                <c:pt idx="6">
                  <c:v>18.29376</c:v>
                </c:pt>
                <c:pt idx="7">
                  <c:v>27.464272</c:v>
                </c:pt>
                <c:pt idx="8">
                  <c:v>56.956518</c:v>
                </c:pt>
                <c:pt idx="9">
                  <c:v>65.432243</c:v>
                </c:pt>
                <c:pt idx="10">
                  <c:v>47.917738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167376"/>
        <c:axId val="839171408"/>
      </c:barChart>
      <c:catAx>
        <c:axId val="83916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171408"/>
        <c:crosses val="autoZero"/>
        <c:auto val="1"/>
        <c:lblAlgn val="ctr"/>
        <c:lblOffset val="100"/>
        <c:noMultiLvlLbl val="0"/>
      </c:catAx>
      <c:valAx>
        <c:axId val="83917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39167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data!$K$157:$K$166</c:f>
              <c:numCache>
                <c:formatCode>_(* #,##0.00_);_(* \(#,##0.00\);_(* "-"??_);_(@_)</c:formatCode>
                <c:ptCount val="10"/>
                <c:pt idx="1">
                  <c:v>0.387</c:v>
                </c:pt>
                <c:pt idx="2">
                  <c:v>0.410190582275391</c:v>
                </c:pt>
                <c:pt idx="3">
                  <c:v>0.0460732421875</c:v>
                </c:pt>
                <c:pt idx="4">
                  <c:v>0.615234375</c:v>
                </c:pt>
                <c:pt idx="5">
                  <c:v>143.2</c:v>
                </c:pt>
                <c:pt idx="6">
                  <c:v>175.490234375</c:v>
                </c:pt>
                <c:pt idx="7">
                  <c:v>183.447265625</c:v>
                </c:pt>
                <c:pt idx="8">
                  <c:v>197.0810546875</c:v>
                </c:pt>
                <c:pt idx="9">
                  <c:v>202.5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330064"/>
        <c:axId val="701390272"/>
      </c:barChart>
      <c:catAx>
        <c:axId val="70133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390272"/>
        <c:crosses val="autoZero"/>
        <c:auto val="1"/>
        <c:lblAlgn val="ctr"/>
        <c:lblOffset val="100"/>
        <c:noMultiLvlLbl val="0"/>
      </c:catAx>
      <c:valAx>
        <c:axId val="701390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33006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"/>
          <c:y val="0.149019502160419"/>
          <c:w val="0.850180210901001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data!$K$169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data!$K$170:$K$179</c:f>
              <c:numCache>
                <c:formatCode>0.0%</c:formatCode>
                <c:ptCount val="10"/>
                <c:pt idx="0">
                  <c:v>0.203885988187965</c:v>
                </c:pt>
                <c:pt idx="1">
                  <c:v>0.238371260913124</c:v>
                </c:pt>
                <c:pt idx="2">
                  <c:v>0.317031539888683</c:v>
                </c:pt>
                <c:pt idx="3">
                  <c:v>0.385076057012816</c:v>
                </c:pt>
                <c:pt idx="4">
                  <c:v>0.35461946373889</c:v>
                </c:pt>
                <c:pt idx="5">
                  <c:v>0.386416115932797</c:v>
                </c:pt>
                <c:pt idx="6">
                  <c:v>0.382357426044526</c:v>
                </c:pt>
                <c:pt idx="7">
                  <c:v>0.380456994241129</c:v>
                </c:pt>
                <c:pt idx="8">
                  <c:v>0.240586485337867</c:v>
                </c:pt>
                <c:pt idx="9">
                  <c:v>0.231748397674765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410528"/>
        <c:axId val="701413920"/>
      </c:lineChart>
      <c:catAx>
        <c:axId val="7014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413920"/>
        <c:crosses val="autoZero"/>
        <c:auto val="1"/>
        <c:lblAlgn val="ctr"/>
        <c:lblOffset val="100"/>
        <c:noMultiLvlLbl val="0"/>
      </c:catAx>
      <c:valAx>
        <c:axId val="701413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4105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data!$Z$235:$Z$245</c:f>
              <c:numCache>
                <c:formatCode>General</c:formatCode>
                <c:ptCount val="11"/>
                <c:pt idx="0">
                  <c:v>11242.0</c:v>
                </c:pt>
                <c:pt idx="1">
                  <c:v>16433.0</c:v>
                </c:pt>
                <c:pt idx="2">
                  <c:v>19070.0</c:v>
                </c:pt>
                <c:pt idx="3">
                  <c:v>18437.0</c:v>
                </c:pt>
                <c:pt idx="4">
                  <c:v>11300.0</c:v>
                </c:pt>
                <c:pt idx="5">
                  <c:v>18181.0</c:v>
                </c:pt>
                <c:pt idx="6">
                  <c:v>17118.0</c:v>
                </c:pt>
                <c:pt idx="7">
                  <c:v>18982.0</c:v>
                </c:pt>
                <c:pt idx="8">
                  <c:v>14071.0</c:v>
                </c:pt>
                <c:pt idx="9">
                  <c:v>31846.0</c:v>
                </c:pt>
                <c:pt idx="10">
                  <c:v>46518.0</c:v>
                </c:pt>
              </c:numCache>
            </c:numRef>
          </c:val>
        </c:ser>
        <c:ser>
          <c:idx val="1"/>
          <c:order val="1"/>
          <c:tx>
            <c:strRef>
              <c:f>data!$AA$234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data!$AA$235:$AA$245</c:f>
              <c:numCache>
                <c:formatCode>General</c:formatCode>
                <c:ptCount val="11"/>
                <c:pt idx="0">
                  <c:v>117277.0</c:v>
                </c:pt>
                <c:pt idx="1">
                  <c:v>152974.0</c:v>
                </c:pt>
                <c:pt idx="2">
                  <c:v>161490.0</c:v>
                </c:pt>
                <c:pt idx="3">
                  <c:v>152661.0</c:v>
                </c:pt>
                <c:pt idx="4">
                  <c:v>165812.0</c:v>
                </c:pt>
                <c:pt idx="5">
                  <c:v>103414.0</c:v>
                </c:pt>
                <c:pt idx="6">
                  <c:v>89676.0</c:v>
                </c:pt>
                <c:pt idx="7">
                  <c:v>113142.0</c:v>
                </c:pt>
                <c:pt idx="8">
                  <c:v>97324.0</c:v>
                </c:pt>
                <c:pt idx="9">
                  <c:v>275875.0</c:v>
                </c:pt>
                <c:pt idx="10">
                  <c:v>454588.0</c:v>
                </c:pt>
              </c:numCache>
            </c:numRef>
          </c:val>
        </c:ser>
        <c:ser>
          <c:idx val="2"/>
          <c:order val="2"/>
          <c:tx>
            <c:strRef>
              <c:f>data!$AB$234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data!$AB$235:$AB$245</c:f>
              <c:numCache>
                <c:formatCode>General</c:formatCode>
                <c:ptCount val="11"/>
                <c:pt idx="0">
                  <c:v>7857.0</c:v>
                </c:pt>
                <c:pt idx="1">
                  <c:v>11683.0</c:v>
                </c:pt>
                <c:pt idx="2">
                  <c:v>13974.0</c:v>
                </c:pt>
                <c:pt idx="3">
                  <c:v>13475.0</c:v>
                </c:pt>
                <c:pt idx="4">
                  <c:v>8349.0</c:v>
                </c:pt>
                <c:pt idx="5">
                  <c:v>14448.0</c:v>
                </c:pt>
                <c:pt idx="6">
                  <c:v>13493.0</c:v>
                </c:pt>
                <c:pt idx="7">
                  <c:v>14175.0</c:v>
                </c:pt>
                <c:pt idx="8">
                  <c:v>10766.0</c:v>
                </c:pt>
                <c:pt idx="9">
                  <c:v>23530.0</c:v>
                </c:pt>
                <c:pt idx="10">
                  <c:v>33545.0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441888"/>
        <c:axId val="701445280"/>
      </c:barChart>
      <c:catAx>
        <c:axId val="70144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445280"/>
        <c:crosses val="autoZero"/>
        <c:auto val="1"/>
        <c:lblAlgn val="ctr"/>
        <c:lblOffset val="100"/>
        <c:noMultiLvlLbl val="0"/>
      </c:catAx>
      <c:valAx>
        <c:axId val="70144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4418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150448149953"/>
          <c:y val="0.172667729576729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Summary_data!$D$21:$D$31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3.571884</c:v>
                </c:pt>
                <c:pt idx="2">
                  <c:v>5.1073</c:v>
                </c:pt>
                <c:pt idx="3">
                  <c:v>4.406202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10.212371</c:v>
                </c:pt>
                <c:pt idx="7">
                  <c:v>15.472293</c:v>
                </c:pt>
                <c:pt idx="8">
                  <c:v>15.943277</c:v>
                </c:pt>
                <c:pt idx="9">
                  <c:v>18.483862</c:v>
                </c:pt>
                <c:pt idx="10">
                  <c:v>31.037472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471424"/>
        <c:axId val="820473968"/>
      </c:barChart>
      <c:catAx>
        <c:axId val="82047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473968"/>
        <c:crosses val="autoZero"/>
        <c:auto val="1"/>
        <c:lblAlgn val="ctr"/>
        <c:lblOffset val="100"/>
        <c:noMultiLvlLbl val="0"/>
      </c:catAx>
      <c:valAx>
        <c:axId val="820473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471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Summary_data!$M$21:$M$31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0.399323</c:v>
                </c:pt>
                <c:pt idx="2">
                  <c:v>7.69942</c:v>
                </c:pt>
                <c:pt idx="3">
                  <c:v>49.882875</c:v>
                </c:pt>
                <c:pt idx="4">
                  <c:v>3.194725</c:v>
                </c:pt>
                <c:pt idx="5">
                  <c:v>6.706193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  <c:pt idx="9">
                  <c:v>31.550469</c:v>
                </c:pt>
                <c:pt idx="10">
                  <c:v>26.890238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66336"/>
        <c:axId val="701469728"/>
      </c:barChart>
      <c:catAx>
        <c:axId val="70146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469728"/>
        <c:crosses val="autoZero"/>
        <c:auto val="1"/>
        <c:lblAlgn val="ctr"/>
        <c:lblOffset val="100"/>
        <c:noMultiLvlLbl val="0"/>
      </c:catAx>
      <c:valAx>
        <c:axId val="701469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7014663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data!$L$157:$L$166</c:f>
              <c:numCache>
                <c:formatCode>_(* #,##0.00_);_(* \(#,##0.00\);_(* "-"??_);_(@_)</c:formatCode>
                <c:ptCount val="10"/>
                <c:pt idx="0">
                  <c:v>21.843390625</c:v>
                </c:pt>
                <c:pt idx="1">
                  <c:v>29.621</c:v>
                </c:pt>
                <c:pt idx="2">
                  <c:v>32.9021357421875</c:v>
                </c:pt>
                <c:pt idx="3">
                  <c:v>36.1633310546875</c:v>
                </c:pt>
                <c:pt idx="4">
                  <c:v>41.46984375</c:v>
                </c:pt>
                <c:pt idx="5">
                  <c:v>44.454013671875</c:v>
                </c:pt>
                <c:pt idx="6">
                  <c:v>54.8790291053073</c:v>
                </c:pt>
                <c:pt idx="7">
                  <c:v>89.56239257812501</c:v>
                </c:pt>
                <c:pt idx="8">
                  <c:v>164.003359375</c:v>
                </c:pt>
                <c:pt idx="9">
                  <c:v>245.705283203125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064176"/>
        <c:axId val="821068208"/>
      </c:barChart>
      <c:catAx>
        <c:axId val="82106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068208"/>
        <c:crosses val="autoZero"/>
        <c:auto val="1"/>
        <c:lblAlgn val="ctr"/>
        <c:lblOffset val="100"/>
        <c:noMultiLvlLbl val="0"/>
      </c:catAx>
      <c:valAx>
        <c:axId val="821068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064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65321866582"/>
          <c:y val="0.149019502160419"/>
          <c:w val="0.83889779275906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data!$L$169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data!$L$170:$L$179</c:f>
              <c:numCache>
                <c:formatCode>0.0%</c:formatCode>
                <c:ptCount val="10"/>
                <c:pt idx="0">
                  <c:v>0.35923771075754</c:v>
                </c:pt>
                <c:pt idx="1">
                  <c:v>0.301626349596829</c:v>
                </c:pt>
                <c:pt idx="2">
                  <c:v>0.359400324149109</c:v>
                </c:pt>
                <c:pt idx="3">
                  <c:v>0.132453371592539</c:v>
                </c:pt>
                <c:pt idx="4">
                  <c:v>0.127904913961327</c:v>
                </c:pt>
                <c:pt idx="5">
                  <c:v>0.3792</c:v>
                </c:pt>
                <c:pt idx="6">
                  <c:v>0.463174414199903</c:v>
                </c:pt>
                <c:pt idx="7">
                  <c:v>0.304713876661396</c:v>
                </c:pt>
                <c:pt idx="8">
                  <c:v>0.31115350981795</c:v>
                </c:pt>
                <c:pt idx="9">
                  <c:v>0.316713922745517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088800"/>
        <c:axId val="821092832"/>
      </c:lineChart>
      <c:catAx>
        <c:axId val="8210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092832"/>
        <c:crosses val="autoZero"/>
        <c:auto val="1"/>
        <c:lblAlgn val="ctr"/>
        <c:lblOffset val="100"/>
        <c:noMultiLvlLbl val="0"/>
      </c:catAx>
      <c:valAx>
        <c:axId val="82109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088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366023855272"/>
          <c:y val="0.143607581541664"/>
          <c:w val="0.812600531121726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data!$AC$235:$AC$245</c:f>
              <c:numCache>
                <c:formatCode>General</c:formatCode>
                <c:ptCount val="11"/>
                <c:pt idx="0">
                  <c:v>43722.0</c:v>
                </c:pt>
                <c:pt idx="1">
                  <c:v>24190.0</c:v>
                </c:pt>
                <c:pt idx="2">
                  <c:v>19878.0</c:v>
                </c:pt>
                <c:pt idx="3">
                  <c:v>19897.0</c:v>
                </c:pt>
                <c:pt idx="4">
                  <c:v>25614.0</c:v>
                </c:pt>
                <c:pt idx="5">
                  <c:v>28056.0</c:v>
                </c:pt>
                <c:pt idx="6">
                  <c:v>28531.0</c:v>
                </c:pt>
                <c:pt idx="7">
                  <c:v>29876.0</c:v>
                </c:pt>
                <c:pt idx="8">
                  <c:v>37165.0</c:v>
                </c:pt>
                <c:pt idx="9">
                  <c:v>36216.0</c:v>
                </c:pt>
                <c:pt idx="10">
                  <c:v>39732.0</c:v>
                </c:pt>
              </c:numCache>
            </c:numRef>
          </c:val>
        </c:ser>
        <c:ser>
          <c:idx val="1"/>
          <c:order val="1"/>
          <c:tx>
            <c:strRef>
              <c:f>data!$AD$234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data!$AD$235:$AD$245</c:f>
              <c:numCache>
                <c:formatCode>General</c:formatCode>
                <c:ptCount val="11"/>
                <c:pt idx="0">
                  <c:v>479754.0</c:v>
                </c:pt>
                <c:pt idx="1">
                  <c:v>168092.0</c:v>
                </c:pt>
                <c:pt idx="2">
                  <c:v>111178.0</c:v>
                </c:pt>
                <c:pt idx="3">
                  <c:v>103047.0</c:v>
                </c:pt>
                <c:pt idx="4">
                  <c:v>205349.0</c:v>
                </c:pt>
                <c:pt idx="5">
                  <c:v>221636.0</c:v>
                </c:pt>
                <c:pt idx="6">
                  <c:v>206051.0</c:v>
                </c:pt>
                <c:pt idx="7">
                  <c:v>200215.0</c:v>
                </c:pt>
                <c:pt idx="8">
                  <c:v>270832.0</c:v>
                </c:pt>
                <c:pt idx="9">
                  <c:v>303768.0</c:v>
                </c:pt>
                <c:pt idx="10">
                  <c:v>343100.0</c:v>
                </c:pt>
              </c:numCache>
            </c:numRef>
          </c:val>
        </c:ser>
        <c:ser>
          <c:idx val="2"/>
          <c:order val="2"/>
          <c:tx>
            <c:strRef>
              <c:f>data!$AE$234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data!$AE$235:$AE$245</c:f>
              <c:numCache>
                <c:formatCode>General</c:formatCode>
                <c:ptCount val="11"/>
                <c:pt idx="0">
                  <c:v>24748.0</c:v>
                </c:pt>
                <c:pt idx="1">
                  <c:v>16844.0</c:v>
                </c:pt>
                <c:pt idx="2">
                  <c:v>14634.0</c:v>
                </c:pt>
                <c:pt idx="3">
                  <c:v>14808.0</c:v>
                </c:pt>
                <c:pt idx="4">
                  <c:v>17425.0</c:v>
                </c:pt>
                <c:pt idx="5">
                  <c:v>19278.0</c:v>
                </c:pt>
                <c:pt idx="6">
                  <c:v>19950.0</c:v>
                </c:pt>
                <c:pt idx="7">
                  <c:v>21105.0</c:v>
                </c:pt>
                <c:pt idx="8">
                  <c:v>23399.0</c:v>
                </c:pt>
                <c:pt idx="9">
                  <c:v>25158.0</c:v>
                </c:pt>
                <c:pt idx="10">
                  <c:v>27157.0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1120928"/>
        <c:axId val="821124960"/>
      </c:barChart>
      <c:catAx>
        <c:axId val="82112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24960"/>
        <c:crosses val="autoZero"/>
        <c:auto val="1"/>
        <c:lblAlgn val="ctr"/>
        <c:lblOffset val="100"/>
        <c:noMultiLvlLbl val="0"/>
      </c:catAx>
      <c:valAx>
        <c:axId val="821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209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"/>
          <c:y val="0.163551181102362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Summary_data!$N$21:$N$31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16.487646</c:v>
                </c:pt>
                <c:pt idx="2">
                  <c:v>31.722079</c:v>
                </c:pt>
                <c:pt idx="3">
                  <c:v>50.334622</c:v>
                </c:pt>
                <c:pt idx="4">
                  <c:v>38.27294</c:v>
                </c:pt>
                <c:pt idx="5">
                  <c:v>54.068234</c:v>
                </c:pt>
                <c:pt idx="6">
                  <c:v>89.251096</c:v>
                </c:pt>
                <c:pt idx="7">
                  <c:v>71.263045</c:v>
                </c:pt>
                <c:pt idx="8">
                  <c:v>77.176447</c:v>
                </c:pt>
                <c:pt idx="9">
                  <c:v>93.017982</c:v>
                </c:pt>
                <c:pt idx="10">
                  <c:v>87.788123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46112"/>
        <c:axId val="821150144"/>
      </c:barChart>
      <c:catAx>
        <c:axId val="82114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150144"/>
        <c:crosses val="autoZero"/>
        <c:auto val="1"/>
        <c:lblAlgn val="ctr"/>
        <c:lblOffset val="100"/>
        <c:noMultiLvlLbl val="0"/>
      </c:catAx>
      <c:valAx>
        <c:axId val="82115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146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data!$M$157:$M$166</c:f>
              <c:numCache>
                <c:formatCode>_(* #,##0.00_);_(* \(#,##0.00\);_(* "-"??_);_(@_)</c:formatCode>
                <c:ptCount val="10"/>
                <c:pt idx="2">
                  <c:v>2.722111328125</c:v>
                </c:pt>
                <c:pt idx="3">
                  <c:v>2.8863720703125</c:v>
                </c:pt>
                <c:pt idx="4">
                  <c:v>3.30794921875</c:v>
                </c:pt>
                <c:pt idx="5">
                  <c:v>3.3409765625</c:v>
                </c:pt>
                <c:pt idx="6">
                  <c:v>3.359417266909072</c:v>
                </c:pt>
                <c:pt idx="7">
                  <c:v>3.36599609375</c:v>
                </c:pt>
                <c:pt idx="8">
                  <c:v>3.720546875</c:v>
                </c:pt>
                <c:pt idx="9">
                  <c:v>3.88087890625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88448"/>
        <c:axId val="821192480"/>
      </c:barChart>
      <c:catAx>
        <c:axId val="8211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192480"/>
        <c:crosses val="autoZero"/>
        <c:auto val="1"/>
        <c:lblAlgn val="ctr"/>
        <c:lblOffset val="100"/>
        <c:noMultiLvlLbl val="0"/>
      </c:catAx>
      <c:valAx>
        <c:axId val="82119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1884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9719016347"/>
          <c:y val="0.149019502160419"/>
          <c:w val="0.854213395609296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data!$M$169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data!$M$170:$M$179</c:f>
              <c:numCache>
                <c:formatCode>0.0%</c:formatCode>
                <c:ptCount val="10"/>
                <c:pt idx="1">
                  <c:v>0.0801678516931268</c:v>
                </c:pt>
                <c:pt idx="2">
                  <c:v>0.274302638390319</c:v>
                </c:pt>
                <c:pt idx="3">
                  <c:v>0.237471278028682</c:v>
                </c:pt>
                <c:pt idx="4">
                  <c:v>0.321304399952044</c:v>
                </c:pt>
                <c:pt idx="5">
                  <c:v>0.444258408290966</c:v>
                </c:pt>
                <c:pt idx="6">
                  <c:v>0.536365707707252</c:v>
                </c:pt>
                <c:pt idx="7">
                  <c:v>0.662195418773832</c:v>
                </c:pt>
                <c:pt idx="8">
                  <c:v>0.644362768627343</c:v>
                </c:pt>
                <c:pt idx="9">
                  <c:v>0.552629220388461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213072"/>
        <c:axId val="821217104"/>
      </c:lineChart>
      <c:catAx>
        <c:axId val="82121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217104"/>
        <c:crosses val="autoZero"/>
        <c:auto val="1"/>
        <c:lblAlgn val="ctr"/>
        <c:lblOffset val="100"/>
        <c:noMultiLvlLbl val="0"/>
      </c:catAx>
      <c:valAx>
        <c:axId val="821217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2130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data!$AF$235:$AF$245</c:f>
              <c:numCache>
                <c:formatCode>General</c:formatCode>
                <c:ptCount val="11"/>
                <c:pt idx="2">
                  <c:v>155635.0</c:v>
                </c:pt>
                <c:pt idx="3">
                  <c:v>142290.0</c:v>
                </c:pt>
                <c:pt idx="4">
                  <c:v>119831.0</c:v>
                </c:pt>
                <c:pt idx="5">
                  <c:v>127843.0</c:v>
                </c:pt>
                <c:pt idx="6">
                  <c:v>106840.0</c:v>
                </c:pt>
                <c:pt idx="7">
                  <c:v>107864.0</c:v>
                </c:pt>
                <c:pt idx="8">
                  <c:v>89576.0</c:v>
                </c:pt>
                <c:pt idx="9">
                  <c:v>88746.0</c:v>
                </c:pt>
                <c:pt idx="10">
                  <c:v>94980.0</c:v>
                </c:pt>
              </c:numCache>
            </c:numRef>
          </c:val>
        </c:ser>
        <c:ser>
          <c:idx val="1"/>
          <c:order val="1"/>
          <c:tx>
            <c:strRef>
              <c:f>data!$AG$234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data!$AG$235:$AG$245</c:f>
              <c:numCache>
                <c:formatCode>General</c:formatCode>
                <c:ptCount val="11"/>
                <c:pt idx="2">
                  <c:v>921255.0</c:v>
                </c:pt>
                <c:pt idx="3">
                  <c:v>801448.0</c:v>
                </c:pt>
                <c:pt idx="4">
                  <c:v>714477.0</c:v>
                </c:pt>
                <c:pt idx="5">
                  <c:v>813099.0</c:v>
                </c:pt>
                <c:pt idx="6">
                  <c:v>917822.0</c:v>
                </c:pt>
                <c:pt idx="7">
                  <c:v>895322.0</c:v>
                </c:pt>
                <c:pt idx="8">
                  <c:v>938136.0</c:v>
                </c:pt>
                <c:pt idx="9">
                  <c:v>893022.0</c:v>
                </c:pt>
                <c:pt idx="10">
                  <c:v>923167.0</c:v>
                </c:pt>
              </c:numCache>
            </c:numRef>
          </c:val>
        </c:ser>
        <c:ser>
          <c:idx val="2"/>
          <c:order val="2"/>
          <c:tx>
            <c:strRef>
              <c:f>data!$AH$234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data!$AH$235:$AH$245</c:f>
              <c:numCache>
                <c:formatCode>General</c:formatCode>
                <c:ptCount val="11"/>
                <c:pt idx="2">
                  <c:v>123204.0</c:v>
                </c:pt>
                <c:pt idx="3">
                  <c:v>117837.0</c:v>
                </c:pt>
                <c:pt idx="4">
                  <c:v>100968.0</c:v>
                </c:pt>
                <c:pt idx="5">
                  <c:v>107713.0</c:v>
                </c:pt>
                <c:pt idx="6">
                  <c:v>87904.0</c:v>
                </c:pt>
                <c:pt idx="7">
                  <c:v>90311.0</c:v>
                </c:pt>
                <c:pt idx="8">
                  <c:v>73954.0</c:v>
                </c:pt>
                <c:pt idx="9">
                  <c:v>72917.0</c:v>
                </c:pt>
                <c:pt idx="10">
                  <c:v>78103.0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1245200"/>
        <c:axId val="821249232"/>
      </c:barChart>
      <c:catAx>
        <c:axId val="82124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249232"/>
        <c:crosses val="autoZero"/>
        <c:auto val="1"/>
        <c:lblAlgn val="ctr"/>
        <c:lblOffset val="100"/>
        <c:noMultiLvlLbl val="0"/>
      </c:catAx>
      <c:valAx>
        <c:axId val="8212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2452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13257189663846"/>
          <c:y val="0.145773228346457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Summary_data!$O$21:$O$31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0.074131</c:v>
                </c:pt>
                <c:pt idx="2">
                  <c:v>0.49062</c:v>
                </c:pt>
                <c:pt idx="3">
                  <c:v>3.566385</c:v>
                </c:pt>
                <c:pt idx="4">
                  <c:v>4.158651</c:v>
                </c:pt>
                <c:pt idx="5">
                  <c:v>1.599327</c:v>
                </c:pt>
                <c:pt idx="6">
                  <c:v>4.687222</c:v>
                </c:pt>
                <c:pt idx="7">
                  <c:v>6.392213</c:v>
                </c:pt>
                <c:pt idx="8">
                  <c:v>7.651738</c:v>
                </c:pt>
                <c:pt idx="9">
                  <c:v>5.787392</c:v>
                </c:pt>
                <c:pt idx="10">
                  <c:v>3.555455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269888"/>
        <c:axId val="821273920"/>
      </c:barChart>
      <c:catAx>
        <c:axId val="82126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273920"/>
        <c:crosses val="autoZero"/>
        <c:auto val="1"/>
        <c:lblAlgn val="ctr"/>
        <c:lblOffset val="100"/>
        <c:noMultiLvlLbl val="0"/>
      </c:catAx>
      <c:valAx>
        <c:axId val="821273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2698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Weekly</a:t>
            </a:r>
            <a:r>
              <a:rPr lang="en-US" baseline="0"/>
              <a:t> Average </a:t>
            </a:r>
            <a:r>
              <a:rPr lang="en-US"/>
              <a:t>Production Volume Trend</a:t>
            </a:r>
          </a:p>
        </c:rich>
      </c:tx>
      <c:layout>
        <c:manualLayout>
          <c:xMode val="edge"/>
          <c:yMode val="edge"/>
          <c:x val="0.207689174047067"/>
          <c:y val="0.00219848686503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L_data!$B$159</c:f>
              <c:strCache>
                <c:ptCount val="1"/>
                <c:pt idx="0">
                  <c:v>one week</c:v>
                </c:pt>
              </c:strCache>
            </c:strRef>
          </c:tx>
          <c:invertIfNegative val="0"/>
          <c:cat>
            <c:strRef>
              <c:f>L_data!$A$160:$A$167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L_data!$B$160:$B$167</c:f>
              <c:numCache>
                <c:formatCode>_(* #,##0.00_);_(* \(#,##0.00\);_(* "-"??_);_(@_)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15.20400805251834</c:v>
                </c:pt>
                <c:pt idx="3">
                  <c:v>15.70140831580529</c:v>
                </c:pt>
                <c:pt idx="4">
                  <c:v>16.35647967998798</c:v>
                </c:pt>
                <c:pt idx="5">
                  <c:v>16.32674389516805</c:v>
                </c:pt>
                <c:pt idx="6">
                  <c:v>20.76057692307692</c:v>
                </c:pt>
                <c:pt idx="7">
                  <c:v>21.10148384679909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12704"/>
        <c:axId val="821316736"/>
      </c:barChart>
      <c:catAx>
        <c:axId val="8213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16736"/>
        <c:crosses val="autoZero"/>
        <c:auto val="1"/>
        <c:lblAlgn val="ctr"/>
        <c:lblOffset val="100"/>
        <c:noMultiLvlLbl val="0"/>
      </c:catAx>
      <c:valAx>
        <c:axId val="821316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Weekly Average Volume (TB)</a:t>
                </a:r>
              </a:p>
            </c:rich>
          </c:tx>
          <c:layout>
            <c:manualLayout>
              <c:xMode val="edge"/>
              <c:yMode val="edge"/>
              <c:x val="0.0475722086525563"/>
              <c:y val="0.13770651789584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12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data!$C$157:$C$166</c:f>
              <c:numCache>
                <c:formatCode>_(* #,##0.00_);_(* \(#,##0.00\);_(* "-"??_);_(@_)</c:formatCode>
                <c:ptCount val="10"/>
                <c:pt idx="0">
                  <c:v>255.6104873046875</c:v>
                </c:pt>
                <c:pt idx="1">
                  <c:v>376.687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3597.054208984375</c:v>
                </c:pt>
                <c:pt idx="6">
                  <c:v>1486.062054989158</c:v>
                </c:pt>
                <c:pt idx="7">
                  <c:v>2136.66015625</c:v>
                </c:pt>
                <c:pt idx="8">
                  <c:v>2656.079189453125</c:v>
                </c:pt>
                <c:pt idx="9">
                  <c:v>5230.002034044266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16128"/>
        <c:axId val="820519520"/>
      </c:barChart>
      <c:catAx>
        <c:axId val="82051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19520"/>
        <c:crosses val="autoZero"/>
        <c:auto val="1"/>
        <c:lblAlgn val="ctr"/>
        <c:lblOffset val="100"/>
        <c:noMultiLvlLbl val="0"/>
      </c:catAx>
      <c:valAx>
        <c:axId val="82051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16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L_Summary_data!$B$20:$B$27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L_Summary_data!$C$20:$C$27</c:f>
              <c:numCache>
                <c:formatCode>_(* #,##0.00_);_(* \(#,##0.00\);_(* "-"??_);_(@_)</c:formatCode>
                <c:ptCount val="8"/>
                <c:pt idx="0">
                  <c:v>239.357451171875</c:v>
                </c:pt>
                <c:pt idx="1">
                  <c:v>475.8489941406249</c:v>
                </c:pt>
                <c:pt idx="2">
                  <c:v>833.81921875</c:v>
                </c:pt>
                <c:pt idx="3">
                  <c:v>856.63578125</c:v>
                </c:pt>
                <c:pt idx="4">
                  <c:v>891.626412060547</c:v>
                </c:pt>
                <c:pt idx="5">
                  <c:v>786.3668250761989</c:v>
                </c:pt>
                <c:pt idx="6" formatCode="_(* #,##0.0_);_(* \(#,##0.0\);_(* &quot;-&quot;??_);_(@_)">
                  <c:v>763.04</c:v>
                </c:pt>
                <c:pt idx="7" formatCode="_(* #,##0.0_);_(* \(#,##0.0\);_(* &quot;-&quot;??_);_(@_)">
                  <c:v>889.1336167524994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37328"/>
        <c:axId val="821341360"/>
      </c:barChart>
      <c:catAx>
        <c:axId val="82133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41360"/>
        <c:crosses val="autoZero"/>
        <c:auto val="1"/>
        <c:lblAlgn val="ctr"/>
        <c:lblOffset val="100"/>
        <c:noMultiLvlLbl val="0"/>
      </c:catAx>
      <c:valAx>
        <c:axId val="821341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37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L_data!$A$234:$A$241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L_data!$B$234:$B$241</c:f>
              <c:numCache>
                <c:formatCode>_(* #,##0_);_(* \(#,##0\);_(* "-"??_);_(@_)</c:formatCode>
                <c:ptCount val="8"/>
                <c:pt idx="2">
                  <c:v>592471.0</c:v>
                </c:pt>
                <c:pt idx="3">
                  <c:v>555306.0</c:v>
                </c:pt>
                <c:pt idx="4">
                  <c:v>399036.0</c:v>
                </c:pt>
                <c:pt idx="5">
                  <c:v>349520.0</c:v>
                </c:pt>
                <c:pt idx="6">
                  <c:v>318452.0</c:v>
                </c:pt>
                <c:pt idx="7">
                  <c:v>302452.0</c:v>
                </c:pt>
              </c:numCache>
            </c:numRef>
          </c:val>
        </c:ser>
        <c:ser>
          <c:idx val="1"/>
          <c:order val="1"/>
          <c:tx>
            <c:strRef>
              <c:f>L_data!$C$233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L_data!$A$234:$A$241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L_data!$C$234:$C$241</c:f>
              <c:numCache>
                <c:formatCode>_(* #,##0_);_(* \(#,##0\);_(* "-"??_);_(@_)</c:formatCode>
                <c:ptCount val="8"/>
                <c:pt idx="2">
                  <c:v>6.582527E6</c:v>
                </c:pt>
                <c:pt idx="3">
                  <c:v>5.791919E6</c:v>
                </c:pt>
                <c:pt idx="4">
                  <c:v>4.085298E6</c:v>
                </c:pt>
                <c:pt idx="5">
                  <c:v>3.443353E6</c:v>
                </c:pt>
                <c:pt idx="6">
                  <c:v>3.076663E6</c:v>
                </c:pt>
                <c:pt idx="7">
                  <c:v>2.925899E6</c:v>
                </c:pt>
              </c:numCache>
            </c:numRef>
          </c:val>
        </c:ser>
        <c:ser>
          <c:idx val="2"/>
          <c:order val="2"/>
          <c:tx>
            <c:strRef>
              <c:f>L_data!$D$233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L_data!$A$234:$A$241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L_data!$D$234:$D$241</c:f>
              <c:numCache>
                <c:formatCode>_(* #,##0_);_(* \(#,##0\);_(* "-"??_);_(@_)</c:formatCode>
                <c:ptCount val="8"/>
                <c:pt idx="2">
                  <c:v>325462.0</c:v>
                </c:pt>
                <c:pt idx="3">
                  <c:v>298036.0</c:v>
                </c:pt>
                <c:pt idx="4">
                  <c:v>224482.0</c:v>
                </c:pt>
                <c:pt idx="5">
                  <c:v>198199.0</c:v>
                </c:pt>
                <c:pt idx="6">
                  <c:v>185720.0</c:v>
                </c:pt>
                <c:pt idx="7">
                  <c:v>198199.0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1369008"/>
        <c:axId val="821373040"/>
      </c:barChart>
      <c:catAx>
        <c:axId val="82136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373040"/>
        <c:crosses val="autoZero"/>
        <c:auto val="1"/>
        <c:lblAlgn val="ctr"/>
        <c:lblOffset val="100"/>
        <c:noMultiLvlLbl val="0"/>
      </c:catAx>
      <c:valAx>
        <c:axId val="82137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36900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"/>
          <c:y val="0.167898851057877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L_Summary_data!$C$8</c:f>
              <c:strCache>
                <c:ptCount val="1"/>
                <c:pt idx="0">
                  <c:v>LANCE</c:v>
                </c:pt>
              </c:strCache>
            </c:strRef>
          </c:tx>
          <c:invertIfNegative val="0"/>
          <c:cat>
            <c:strRef>
              <c:f>L_Summary_data!$B$9:$B$16</c:f>
              <c:strCache>
                <c:ptCount val="8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</c:strCache>
            </c:strRef>
          </c:cat>
          <c:val>
            <c:numRef>
              <c:f>L_Summary_data!$C$9:$C$16</c:f>
              <c:numCache>
                <c:formatCode>_(* #,##0.0_);_(* \(#,##0.0\);_(* "-"??_);_(@_)</c:formatCode>
                <c:ptCount val="8"/>
                <c:pt idx="0">
                  <c:v>17.264522</c:v>
                </c:pt>
                <c:pt idx="1">
                  <c:v>22.105112</c:v>
                </c:pt>
                <c:pt idx="2">
                  <c:v>65.958473</c:v>
                </c:pt>
                <c:pt idx="3">
                  <c:v>89.748705</c:v>
                </c:pt>
                <c:pt idx="4">
                  <c:v>69.865531</c:v>
                </c:pt>
                <c:pt idx="5">
                  <c:v>72.539675</c:v>
                </c:pt>
                <c:pt idx="6">
                  <c:v>76.3</c:v>
                </c:pt>
                <c:pt idx="7">
                  <c:v>123.179919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94560"/>
        <c:axId val="821398592"/>
      </c:barChart>
      <c:catAx>
        <c:axId val="8213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98592"/>
        <c:crosses val="autoZero"/>
        <c:auto val="1"/>
        <c:lblAlgn val="ctr"/>
        <c:lblOffset val="100"/>
        <c:noMultiLvlLbl val="0"/>
      </c:catAx>
      <c:valAx>
        <c:axId val="82139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0989101041965427"/>
              <c:y val="0.1732886921629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1394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"/>
          <c:w val="0.850180151390715"/>
          <c:h val="0.688911978605747"/>
        </c:manualLayout>
      </c:layout>
      <c:lineChart>
        <c:grouping val="standard"/>
        <c:varyColors val="0"/>
        <c:ser>
          <c:idx val="0"/>
          <c:order val="0"/>
          <c:tx>
            <c:strRef>
              <c:f>data!$C$169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data!$A$170:$A$179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data!$C$170:$C$179</c:f>
              <c:numCache>
                <c:formatCode>0.0%</c:formatCode>
                <c:ptCount val="10"/>
                <c:pt idx="0">
                  <c:v>0.0428500249128052</c:v>
                </c:pt>
                <c:pt idx="1">
                  <c:v>0.065149136577708</c:v>
                </c:pt>
                <c:pt idx="2">
                  <c:v>0.0449937350495501</c:v>
                </c:pt>
                <c:pt idx="3">
                  <c:v>0.146485867074102</c:v>
                </c:pt>
                <c:pt idx="4">
                  <c:v>0.203971674876847</c:v>
                </c:pt>
                <c:pt idx="5">
                  <c:v>0.205971799834117</c:v>
                </c:pt>
                <c:pt idx="6">
                  <c:v>0.143015258123172</c:v>
                </c:pt>
                <c:pt idx="7">
                  <c:v>0.150055344338034</c:v>
                </c:pt>
                <c:pt idx="8">
                  <c:v>0.282275023567233</c:v>
                </c:pt>
                <c:pt idx="9">
                  <c:v>0.558235260835125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539808"/>
        <c:axId val="820543200"/>
      </c:lineChart>
      <c:catAx>
        <c:axId val="8205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"/>
              <c:y val="0.9194559207069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43200"/>
        <c:crosses val="autoZero"/>
        <c:auto val="1"/>
        <c:lblAlgn val="ctr"/>
        <c:lblOffset val="100"/>
        <c:noMultiLvlLbl val="0"/>
      </c:catAx>
      <c:valAx>
        <c:axId val="820543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0.0048473441747446"/>
              <c:y val="0.3653953698020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398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1"/>
          <c:y val="0.143607581541664"/>
          <c:w val="0.808528790253727"/>
          <c:h val="0.70576857582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data!$E$234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data!$E$235:$E$245</c:f>
              <c:numCache>
                <c:formatCode>General</c:formatCode>
                <c:ptCount val="11"/>
                <c:pt idx="1">
                  <c:v>7745.0</c:v>
                </c:pt>
                <c:pt idx="2">
                  <c:v>6366.0</c:v>
                </c:pt>
                <c:pt idx="3">
                  <c:v>16270.0</c:v>
                </c:pt>
                <c:pt idx="4">
                  <c:v>13772.0</c:v>
                </c:pt>
                <c:pt idx="5">
                  <c:v>13439.0</c:v>
                </c:pt>
                <c:pt idx="6">
                  <c:v>13782.0</c:v>
                </c:pt>
                <c:pt idx="7">
                  <c:v>20584.0</c:v>
                </c:pt>
                <c:pt idx="8">
                  <c:v>30739.0</c:v>
                </c:pt>
                <c:pt idx="9">
                  <c:v>65720.0</c:v>
                </c:pt>
                <c:pt idx="10">
                  <c:v>108364.0</c:v>
                </c:pt>
              </c:numCache>
            </c:numRef>
          </c:val>
        </c:ser>
        <c:ser>
          <c:idx val="1"/>
          <c:order val="1"/>
          <c:tx>
            <c:strRef>
              <c:f>data!$F$234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data!$F$235:$F$245</c:f>
              <c:numCache>
                <c:formatCode>General</c:formatCode>
                <c:ptCount val="11"/>
                <c:pt idx="1">
                  <c:v>86406.0</c:v>
                </c:pt>
                <c:pt idx="2">
                  <c:v>86010.0</c:v>
                </c:pt>
                <c:pt idx="3">
                  <c:v>184821.0</c:v>
                </c:pt>
                <c:pt idx="4">
                  <c:v>177994.0</c:v>
                </c:pt>
                <c:pt idx="5">
                  <c:v>124754.0</c:v>
                </c:pt>
                <c:pt idx="6">
                  <c:v>122536.0</c:v>
                </c:pt>
                <c:pt idx="7">
                  <c:v>142425.0</c:v>
                </c:pt>
                <c:pt idx="8">
                  <c:v>203901.0</c:v>
                </c:pt>
                <c:pt idx="9">
                  <c:v>295582.0</c:v>
                </c:pt>
                <c:pt idx="10">
                  <c:v>388556.0</c:v>
                </c:pt>
              </c:numCache>
            </c:numRef>
          </c:val>
        </c:ser>
        <c:ser>
          <c:idx val="2"/>
          <c:order val="2"/>
          <c:tx>
            <c:strRef>
              <c:f>data!$G$234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data!$A$235:$A$245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data!$G$235:$G$245</c:f>
              <c:numCache>
                <c:formatCode>General</c:formatCode>
                <c:ptCount val="11"/>
                <c:pt idx="1">
                  <c:v>4014.0</c:v>
                </c:pt>
                <c:pt idx="2">
                  <c:v>2548.0</c:v>
                </c:pt>
                <c:pt idx="3">
                  <c:v>8779.0</c:v>
                </c:pt>
                <c:pt idx="4">
                  <c:v>5236.0</c:v>
                </c:pt>
                <c:pt idx="5">
                  <c:v>7258.0</c:v>
                </c:pt>
                <c:pt idx="6">
                  <c:v>8039.0</c:v>
                </c:pt>
                <c:pt idx="7">
                  <c:v>13983.0</c:v>
                </c:pt>
                <c:pt idx="8">
                  <c:v>20779.0</c:v>
                </c:pt>
                <c:pt idx="9">
                  <c:v>41371.0</c:v>
                </c:pt>
                <c:pt idx="10">
                  <c:v>70696.0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571168"/>
        <c:axId val="820574560"/>
      </c:barChart>
      <c:catAx>
        <c:axId val="82057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8"/>
              <c:y val="0.928672329480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574560"/>
        <c:crosses val="autoZero"/>
        <c:auto val="1"/>
        <c:lblAlgn val="ctr"/>
        <c:lblOffset val="100"/>
        <c:noMultiLvlLbl val="0"/>
      </c:catAx>
      <c:valAx>
        <c:axId val="82057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0.00339992341920065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57116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5"/>
          <c:y val="0.167898975762826"/>
          <c:w val="0.434582091031103"/>
          <c:h val="0.0700697022117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0.04287412256015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"/>
          <c:w val="0.857262723072041"/>
          <c:h val="0.655293076686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Summary_data!$C$21:$C$31</c:f>
              <c:strCache>
                <c:ptCount val="11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</c:strCache>
            </c:strRef>
          </c:cat>
          <c:val>
            <c:numRef>
              <c:f>Summary_data!$E$21:$E$31</c:f>
              <c:numCache>
                <c:formatCode>_(* #,##0.0_);_(* \(#,##0.0\);_(* "-"??_);_(@_)</c:formatCode>
                <c:ptCount val="11"/>
                <c:pt idx="0">
                  <c:v>0.0</c:v>
                </c:pt>
                <c:pt idx="1">
                  <c:v>0.30387</c:v>
                </c:pt>
                <c:pt idx="2">
                  <c:v>0.472857</c:v>
                </c:pt>
                <c:pt idx="3">
                  <c:v>0.101671</c:v>
                </c:pt>
                <c:pt idx="4">
                  <c:v>0.368609</c:v>
                </c:pt>
                <c:pt idx="5">
                  <c:v>0.846248</c:v>
                </c:pt>
                <c:pt idx="6">
                  <c:v>0.673608</c:v>
                </c:pt>
                <c:pt idx="7">
                  <c:v>1.110146</c:v>
                </c:pt>
                <c:pt idx="8">
                  <c:v>2.00086</c:v>
                </c:pt>
                <c:pt idx="9">
                  <c:v>5.180425</c:v>
                </c:pt>
                <c:pt idx="10">
                  <c:v>6.667925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95616"/>
        <c:axId val="820599008"/>
      </c:barChart>
      <c:catAx>
        <c:axId val="82059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9"/>
              <c:y val="0.918569456011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99008"/>
        <c:crosses val="autoZero"/>
        <c:auto val="1"/>
        <c:lblAlgn val="ctr"/>
        <c:lblOffset val="100"/>
        <c:noMultiLvlLbl val="0"/>
      </c:catAx>
      <c:valAx>
        <c:axId val="82059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0.0162850284935674"/>
              <c:y val="0.17328868888728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5956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0.03841216417989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5"/>
          <c:w val="0.80487043883359"/>
          <c:h val="0.650767463348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data!$A$157:$A$166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data!$D$157:$D$166</c:f>
              <c:numCache>
                <c:formatCode>_(* #,##0.00_);_(* \(#,##0.00\);_(* "-"??_);_(@_)</c:formatCode>
                <c:ptCount val="10"/>
                <c:pt idx="3">
                  <c:v>6.03</c:v>
                </c:pt>
                <c:pt idx="4">
                  <c:v>6.74</c:v>
                </c:pt>
                <c:pt idx="5">
                  <c:v>7.996279296875</c:v>
                </c:pt>
                <c:pt idx="6">
                  <c:v>11.422</c:v>
                </c:pt>
                <c:pt idx="7">
                  <c:v>13.209765625</c:v>
                </c:pt>
                <c:pt idx="8">
                  <c:v>17.5</c:v>
                </c:pt>
                <c:pt idx="9">
                  <c:v>20.16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639328"/>
        <c:axId val="820642720"/>
      </c:barChart>
      <c:catAx>
        <c:axId val="82063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7"/>
              <c:y val="0.9141112075295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642720"/>
        <c:crosses val="autoZero"/>
        <c:auto val="1"/>
        <c:lblAlgn val="ctr"/>
        <c:lblOffset val="100"/>
        <c:noMultiLvlLbl val="0"/>
      </c:catAx>
      <c:valAx>
        <c:axId val="820642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0.0162849872773537"/>
              <c:y val="0.347901572578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820639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4" Type="http://schemas.openxmlformats.org/officeDocument/2006/relationships/chart" Target="../charts/chart24.xml"/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4" Type="http://schemas.openxmlformats.org/officeDocument/2006/relationships/chart" Target="../charts/chart32.xml"/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4" Type="http://schemas.openxmlformats.org/officeDocument/2006/relationships/chart" Target="../charts/chart36.xml"/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4" Type="http://schemas.openxmlformats.org/officeDocument/2006/relationships/chart" Target="../charts/chart40.xml"/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4" Type="http://schemas.openxmlformats.org/officeDocument/2006/relationships/chart" Target="../charts/chart44.xml"/><Relationship Id="rId1" Type="http://schemas.openxmlformats.org/officeDocument/2006/relationships/chart" Target="../charts/chart41.xml"/><Relationship Id="rId2" Type="http://schemas.openxmlformats.org/officeDocument/2006/relationships/chart" Target="../charts/chart42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4" Type="http://schemas.openxmlformats.org/officeDocument/2006/relationships/chart" Target="../charts/chart48.xml"/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4" Type="http://schemas.openxmlformats.org/officeDocument/2006/relationships/chart" Target="../charts/chart52.xml"/><Relationship Id="rId1" Type="http://schemas.openxmlformats.org/officeDocument/2006/relationships/chart" Target="../charts/chart49.xml"/><Relationship Id="rId2" Type="http://schemas.openxmlformats.org/officeDocument/2006/relationships/chart" Target="../charts/chart5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4" Type="http://schemas.openxmlformats.org/officeDocument/2006/relationships/chart" Target="../charts/chart12.xml"/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23183</xdr:colOff>
      <xdr:row>13</xdr:row>
      <xdr:rowOff>23708</xdr:rowOff>
    </xdr:from>
    <xdr:to>
      <xdr:col>3</xdr:col>
      <xdr:colOff>1481666</xdr:colOff>
      <xdr:row>22</xdr:row>
      <xdr:rowOff>9574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3023</xdr:colOff>
      <xdr:row>23</xdr:row>
      <xdr:rowOff>13606</xdr:rowOff>
    </xdr:from>
    <xdr:to>
      <xdr:col>11</xdr:col>
      <xdr:colOff>16629</xdr:colOff>
      <xdr:row>32</xdr:row>
      <xdr:rowOff>13607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21167</xdr:colOff>
      <xdr:row>23</xdr:row>
      <xdr:rowOff>0</xdr:rowOff>
    </xdr:from>
    <xdr:to>
      <xdr:col>3</xdr:col>
      <xdr:colOff>1502832</xdr:colOff>
      <xdr:row>32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228297</xdr:colOff>
      <xdr:row>13</xdr:row>
      <xdr:rowOff>9070</xdr:rowOff>
    </xdr:from>
    <xdr:to>
      <xdr:col>11</xdr:col>
      <xdr:colOff>7560</xdr:colOff>
      <xdr:row>21</xdr:row>
      <xdr:rowOff>312963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0.07389</cdr:x>
      <cdr:y>0.01203</cdr:y>
    </cdr:from>
    <cdr:to>
      <cdr:x>0.95742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119" y="33882"/>
          <a:ext cx="5239084" cy="336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4</xdr:col>
      <xdr:colOff>0</xdr:colOff>
      <xdr:row>22</xdr:row>
      <xdr:rowOff>10584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10583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469194</xdr:colOff>
      <xdr:row>13</xdr:row>
      <xdr:rowOff>25221</xdr:rowOff>
    </xdr:from>
    <xdr:to>
      <xdr:col>3</xdr:col>
      <xdr:colOff>1227666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22679</xdr:colOff>
      <xdr:row>23</xdr:row>
      <xdr:rowOff>21165</xdr:rowOff>
    </xdr:from>
    <xdr:to>
      <xdr:col>11</xdr:col>
      <xdr:colOff>31750</xdr:colOff>
      <xdr:row>32</xdr:row>
      <xdr:rowOff>31750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15118</xdr:colOff>
      <xdr:row>13</xdr:row>
      <xdr:rowOff>24189</xdr:rowOff>
    </xdr:from>
    <xdr:to>
      <xdr:col>11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0.07159</cdr:x>
      <cdr:y>0.0072</cdr:y>
    </cdr:from>
    <cdr:to>
      <cdr:x>0.96201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512" y="20275"/>
          <a:ext cx="5279905" cy="350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1511</xdr:colOff>
      <xdr:row>23</xdr:row>
      <xdr:rowOff>25701</xdr:rowOff>
    </xdr:from>
    <xdr:to>
      <xdr:col>11</xdr:col>
      <xdr:colOff>10583</xdr:colOff>
      <xdr:row>32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465668</xdr:colOff>
      <xdr:row>23</xdr:row>
      <xdr:rowOff>25704</xdr:rowOff>
    </xdr:from>
    <xdr:to>
      <xdr:col>4</xdr:col>
      <xdr:colOff>21166</xdr:colOff>
      <xdr:row>31</xdr:row>
      <xdr:rowOff>306918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25702</xdr:colOff>
      <xdr:row>13</xdr:row>
      <xdr:rowOff>10581</xdr:rowOff>
    </xdr:from>
    <xdr:to>
      <xdr:col>11</xdr:col>
      <xdr:colOff>0</xdr:colOff>
      <xdr:row>22</xdr:row>
      <xdr:rowOff>10584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0.05094</cdr:x>
      <cdr:y>0.01203</cdr:y>
    </cdr:from>
    <cdr:to>
      <cdr:x>0.9666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047" y="33882"/>
          <a:ext cx="5429584" cy="309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Yearly Percentage of Web Users  Downloading Data</a:t>
          </a:r>
          <a:endParaRPr lang="en-US" sz="16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221495</xdr:colOff>
      <xdr:row>23</xdr:row>
      <xdr:rowOff>3779</xdr:rowOff>
    </xdr:from>
    <xdr:to>
      <xdr:col>10</xdr:col>
      <xdr:colOff>1960186</xdr:colOff>
      <xdr:row>32</xdr:row>
      <xdr:rowOff>3781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7561</xdr:colOff>
      <xdr:row>23</xdr:row>
      <xdr:rowOff>6803</xdr:rowOff>
    </xdr:from>
    <xdr:to>
      <xdr:col>3</xdr:col>
      <xdr:colOff>1238250</xdr:colOff>
      <xdr:row>32</xdr:row>
      <xdr:rowOff>6803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15685</xdr:colOff>
      <xdr:row>13</xdr:row>
      <xdr:rowOff>10960</xdr:rowOff>
    </xdr:from>
    <xdr:to>
      <xdr:col>11</xdr:col>
      <xdr:colOff>16065</xdr:colOff>
      <xdr:row>22</xdr:row>
      <xdr:rowOff>377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0.09454</cdr:x>
      <cdr:y>0.01686</cdr:y>
    </cdr:from>
    <cdr:to>
      <cdr:x>0.94595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0583" y="47489"/>
          <a:ext cx="5048583" cy="295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</xdr:colOff>
      <xdr:row>13</xdr:row>
      <xdr:rowOff>85</xdr:rowOff>
    </xdr:from>
    <xdr:to>
      <xdr:col>3</xdr:col>
      <xdr:colOff>1224316</xdr:colOff>
      <xdr:row>21</xdr:row>
      <xdr:rowOff>298537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169334</xdr:colOff>
      <xdr:row>10</xdr:row>
      <xdr:rowOff>74084</xdr:rowOff>
    </xdr:from>
    <xdr:to>
      <xdr:col>9</xdr:col>
      <xdr:colOff>784215</xdr:colOff>
      <xdr:row>11</xdr:row>
      <xdr:rowOff>173379</xdr:rowOff>
    </xdr:to>
    <xdr:sp macro="" textlink="">
      <xdr:nvSpPr>
        <xdr:cNvPr id="6" name="TextBox 1"/>
        <xdr:cNvSpPr txBox="1"/>
      </xdr:nvSpPr>
      <xdr:spPr>
        <a:xfrm>
          <a:off x="8964084" y="2910417"/>
          <a:ext cx="1577964" cy="3321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0.36544</cdr:y>
    </cdr:from>
    <cdr:to>
      <cdr:x>0.7015</cdr:x>
      <cdr:y>0.48212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680533" y="1040177"/>
          <a:ext cx="1577964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0.05553</cdr:x>
      <cdr:y>0.0072</cdr:y>
    </cdr:from>
    <cdr:to>
      <cdr:x>0.95971</cdr:x>
      <cdr:y>0.11702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9262" y="20275"/>
          <a:ext cx="5361547" cy="30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/>
        </a:p>
      </cdr:txBody>
    </cdr:sp>
  </cdr:relSizeAnchor>
  <cdr:relSizeAnchor xmlns:cdr="http://schemas.openxmlformats.org/drawingml/2006/chartDrawing">
    <cdr:from>
      <cdr:x>0.43076</cdr:x>
      <cdr:y>0.42129</cdr:y>
    </cdr:from>
    <cdr:to>
      <cdr:x>0.7111</cdr:x>
      <cdr:y>0.53752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552960" y="1203833"/>
          <a:ext cx="166150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5" name="TextBox 1"/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11465</xdr:colOff>
      <xdr:row>13</xdr:row>
      <xdr:rowOff>13315</xdr:rowOff>
    </xdr:from>
    <xdr:to>
      <xdr:col>3</xdr:col>
      <xdr:colOff>1234899</xdr:colOff>
      <xdr:row>22</xdr:row>
      <xdr:rowOff>881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7182</xdr:colOff>
      <xdr:row>23</xdr:row>
      <xdr:rowOff>24189</xdr:rowOff>
    </xdr:from>
    <xdr:to>
      <xdr:col>11</xdr:col>
      <xdr:colOff>7561</xdr:colOff>
      <xdr:row>32</xdr:row>
      <xdr:rowOff>24191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9261</xdr:colOff>
      <xdr:row>23</xdr:row>
      <xdr:rowOff>13606</xdr:rowOff>
    </xdr:from>
    <xdr:to>
      <xdr:col>3</xdr:col>
      <xdr:colOff>1238249</xdr:colOff>
      <xdr:row>32</xdr:row>
      <xdr:rowOff>13606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223195</xdr:colOff>
      <xdr:row>13</xdr:row>
      <xdr:rowOff>21166</xdr:rowOff>
    </xdr:from>
    <xdr:to>
      <xdr:col>10</xdr:col>
      <xdr:colOff>1961887</xdr:colOff>
      <xdr:row>22</xdr:row>
      <xdr:rowOff>8882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12787</xdr:colOff>
      <xdr:row>13</xdr:row>
      <xdr:rowOff>11991</xdr:rowOff>
    </xdr:from>
    <xdr:to>
      <xdr:col>3</xdr:col>
      <xdr:colOff>1236221</xdr:colOff>
      <xdr:row>22</xdr:row>
      <xdr:rowOff>881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5480</xdr:colOff>
      <xdr:row>23</xdr:row>
      <xdr:rowOff>17386</xdr:rowOff>
    </xdr:from>
    <xdr:to>
      <xdr:col>11</xdr:col>
      <xdr:colOff>5859</xdr:colOff>
      <xdr:row>32</xdr:row>
      <xdr:rowOff>17388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2458</xdr:colOff>
      <xdr:row>23</xdr:row>
      <xdr:rowOff>10205</xdr:rowOff>
    </xdr:from>
    <xdr:to>
      <xdr:col>3</xdr:col>
      <xdr:colOff>1233147</xdr:colOff>
      <xdr:row>32</xdr:row>
      <xdr:rowOff>10205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7180</xdr:colOff>
      <xdr:row>13</xdr:row>
      <xdr:rowOff>9258</xdr:rowOff>
    </xdr:from>
    <xdr:to>
      <xdr:col>11</xdr:col>
      <xdr:colOff>7560</xdr:colOff>
      <xdr:row>21</xdr:row>
      <xdr:rowOff>308237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0.05094</cdr:x>
      <cdr:y>0.0072</cdr:y>
    </cdr:from>
    <cdr:to>
      <cdr:x>0.97348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047" y="20274"/>
          <a:ext cx="5470405" cy="377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12788</xdr:colOff>
      <xdr:row>13</xdr:row>
      <xdr:rowOff>23897</xdr:rowOff>
    </xdr:from>
    <xdr:to>
      <xdr:col>3</xdr:col>
      <xdr:colOff>1236222</xdr:colOff>
      <xdr:row>22</xdr:row>
      <xdr:rowOff>12787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221494</xdr:colOff>
      <xdr:row>23</xdr:row>
      <xdr:rowOff>7180</xdr:rowOff>
    </xdr:from>
    <xdr:to>
      <xdr:col>10</xdr:col>
      <xdr:colOff>1960185</xdr:colOff>
      <xdr:row>32</xdr:row>
      <xdr:rowOff>7182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9261</xdr:colOff>
      <xdr:row>23</xdr:row>
      <xdr:rowOff>8504</xdr:rowOff>
    </xdr:from>
    <xdr:to>
      <xdr:col>3</xdr:col>
      <xdr:colOff>1238249</xdr:colOff>
      <xdr:row>32</xdr:row>
      <xdr:rowOff>8504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5479</xdr:colOff>
      <xdr:row>13</xdr:row>
      <xdr:rowOff>22865</xdr:rowOff>
    </xdr:from>
    <xdr:to>
      <xdr:col>11</xdr:col>
      <xdr:colOff>5859</xdr:colOff>
      <xdr:row>22</xdr:row>
      <xdr:rowOff>10581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0.08536</cdr:x>
      <cdr:y>0.0072</cdr:y>
    </cdr:from>
    <cdr:to>
      <cdr:x>0.94365</cdr:x>
      <cdr:y>0.10252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154" y="20276"/>
          <a:ext cx="5089405" cy="26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471411</xdr:colOff>
      <xdr:row>14</xdr:row>
      <xdr:rowOff>9259</xdr:rowOff>
    </xdr:from>
    <xdr:to>
      <xdr:col>3</xdr:col>
      <xdr:colOff>1153584</xdr:colOff>
      <xdr:row>23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215915</xdr:colOff>
      <xdr:row>24</xdr:row>
      <xdr:rowOff>8314</xdr:rowOff>
    </xdr:from>
    <xdr:to>
      <xdr:col>10</xdr:col>
      <xdr:colOff>1940719</xdr:colOff>
      <xdr:row>33</xdr:row>
      <xdr:rowOff>11906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15498</xdr:colOff>
      <xdr:row>24</xdr:row>
      <xdr:rowOff>2766</xdr:rowOff>
    </xdr:from>
    <xdr:to>
      <xdr:col>3</xdr:col>
      <xdr:colOff>1154906</xdr:colOff>
      <xdr:row>33</xdr:row>
      <xdr:rowOff>11906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1966</xdr:colOff>
      <xdr:row>14</xdr:row>
      <xdr:rowOff>3815</xdr:rowOff>
    </xdr:from>
    <xdr:to>
      <xdr:col>11</xdr:col>
      <xdr:colOff>12776</xdr:colOff>
      <xdr:row>22</xdr:row>
      <xdr:rowOff>286919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0.19172</cdr:x>
      <cdr:y>0.01686</cdr:y>
    </cdr:from>
    <cdr:to>
      <cdr:x>0.86792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6830" y="47488"/>
          <a:ext cx="4009694" cy="35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Volume Distribution Trend</a:t>
          </a:r>
          <a:endParaRPr lang="en-US" sz="16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2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2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3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3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3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C7"/>
  <sheetViews>
    <sheetView workbookViewId="0">
      <selection activeCell="B2" sqref="B2"/>
    </sheetView>
  </sheetViews>
  <sheetFormatPr baseColWidth="10" defaultColWidth="11.5" defaultRowHeight="13" x14ac:dyDescent="0.15"/>
  <cols>
    <col min="1" max="1" width="122.6640625" customWidth="1"/>
    <col min="2" max="2" width="8.1640625" customWidth="1"/>
    <col min="3" max="3" width="0.1640625" hidden="1" customWidth="1"/>
  </cols>
  <sheetData>
    <row r="1" spans="1:1" ht="264" x14ac:dyDescent="0.15">
      <c r="A1" s="84" t="s">
        <v>118</v>
      </c>
    </row>
    <row r="2" spans="1:1" x14ac:dyDescent="0.15">
      <c r="A2" s="81"/>
    </row>
    <row r="3" spans="1:1" s="82" customFormat="1" ht="168.75" customHeight="1" x14ac:dyDescent="0.15">
      <c r="A3" s="86" t="s">
        <v>119</v>
      </c>
    </row>
    <row r="4" spans="1:1" ht="27" customHeight="1" x14ac:dyDescent="0.15">
      <c r="A4" s="85" t="s">
        <v>82</v>
      </c>
    </row>
    <row r="7" spans="1:1" x14ac:dyDescent="0.15">
      <c r="A7" s="83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CONCATENATE("NSIDC Summary for ", Summary_data!T1)</f>
        <v>NSIDC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CONCATENATE(data!$I$2, " Distribution and User Trends ", Summary_data!S1)</f>
        <v>NSIDC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Summary_data!$C$11</f>
        <v>NSIDC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Summary_data!$D$11</f>
        <v>655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Summary_data!G$11</f>
        <v>592467</v>
      </c>
      <c r="F5" s="275" t="s">
        <v>76</v>
      </c>
      <c r="G5" s="284">
        <f>data!$I$15</f>
        <v>102.27287900000002</v>
      </c>
      <c r="H5" s="265"/>
      <c r="I5" s="254">
        <f>(data!$I$15-data!$I$17)/data!$I$17</f>
        <v>0.24441615151454105</v>
      </c>
      <c r="J5" s="266">
        <f>data!$I$16</f>
        <v>8.5227399166666675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Summary_data!H$11</f>
        <v>857579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CONCATENATE(FIXED(1024*Summary_data!$K$11,1), " GB/day")</f>
        <v>681.8 GB/day</v>
      </c>
      <c r="F7" s="248" t="s">
        <v>70</v>
      </c>
      <c r="G7" s="286">
        <f>data!$I$67</f>
        <v>383.64800415002031</v>
      </c>
      <c r="H7" s="252"/>
      <c r="I7" s="254">
        <f>(data!$I$67-data!$I$69)/data!$I$69</f>
        <v>0.45882275960551711</v>
      </c>
      <c r="J7" s="261">
        <f>data!$I$68</f>
        <v>31.970667012501693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CONCATENATE(FIXED(Summary_data!$L$11,1), " TB")</f>
        <v>428.2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CONCATENATE(FIXED(Summary_data!$O$11,1), " M")</f>
        <v>102.3 M</v>
      </c>
      <c r="F9" s="248" t="s">
        <v>66</v>
      </c>
      <c r="G9" s="250">
        <f>data!$I$120</f>
        <v>36012</v>
      </c>
      <c r="H9" s="252"/>
      <c r="I9" s="254">
        <f>(data!$I$120-data!$I$121)/data!$I$121</f>
        <v>0.41840954744180553</v>
      </c>
      <c r="J9" s="256">
        <f>data!$I$119</f>
        <v>3988</v>
      </c>
      <c r="K9" s="246"/>
    </row>
    <row r="10" spans="1:11" ht="18" customHeight="1" thickBot="1" x14ac:dyDescent="0.2">
      <c r="B10" s="52" t="s">
        <v>6</v>
      </c>
      <c r="C10" s="89" t="str">
        <f>Summary_data!T19</f>
        <v>54,418.7 GB/day</v>
      </c>
      <c r="D10" s="91" t="str">
        <f>CONCATENATE(FIXED(1024*Summary_data!$Q$11,1), " GB/day")</f>
        <v>1,076.3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data!$I$197</f>
        <v>572807</v>
      </c>
      <c r="H11" s="252"/>
      <c r="I11" s="254">
        <f>(data!$I$197-data!$I$198)/data!$I$198</f>
        <v>9.1851244710457094E-2</v>
      </c>
      <c r="J11" s="256">
        <f>data!$I$196</f>
        <v>51997.083333333336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{81937DFB-C95E-F149-AAA2-3CAD0E58AF94}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1937DFB-C95E-F149-AAA2-3CAD0E58AF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data!I183:I194</xm:f>
              <xm:sqref>K11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CONCATENATE("OB.DAAC Summary for ", Summary_data!T1)</f>
        <v>OB.DAAC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CONCATENATE(data!$J$2, " Distribution and User Trends ", Summary_data!S1)</f>
        <v>OB.DAAC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Summary_data!$C$12</f>
        <v>OB.DAAC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Summary_data!$D$12</f>
        <v>185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Summary_data!G$12</f>
        <v>34716</v>
      </c>
      <c r="F5" s="275" t="s">
        <v>76</v>
      </c>
      <c r="G5" s="284">
        <f>data!$J$15</f>
        <v>47.917738000000007</v>
      </c>
      <c r="H5" s="265"/>
      <c r="I5" s="254">
        <f>(data!$J$15-data!$J$17)/data!$J$17</f>
        <v>-0.26767392033312987</v>
      </c>
      <c r="J5" s="266">
        <f>data!$J$16</f>
        <v>3.9931448333333339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 t="s">
        <v>77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91" t="str">
        <f>Summary_data!T16</f>
        <v>15,622.5 GB/day</v>
      </c>
      <c r="D7" s="91" t="s">
        <v>77</v>
      </c>
      <c r="F7" s="248" t="s">
        <v>70</v>
      </c>
      <c r="G7" s="286">
        <f>data!$J$67</f>
        <v>1388.5250310475176</v>
      </c>
      <c r="H7" s="252"/>
      <c r="I7" s="254">
        <f>(data!$J$67-data!$J$69)/data!$J$69</f>
        <v>-6.1492036624398123E-2</v>
      </c>
      <c r="J7" s="261">
        <f>data!$J$68</f>
        <v>115.7104192539598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1" t="s">
        <v>77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CONCATENATE(FIXED(Summary_data!$O$12,1), " M")</f>
        <v>47.9 M</v>
      </c>
      <c r="F9" s="248" t="s">
        <v>66</v>
      </c>
      <c r="G9" s="250">
        <f>data!$J$120</f>
        <v>34716</v>
      </c>
      <c r="H9" s="252"/>
      <c r="I9" s="254">
        <f>(data!$J$120-data!$J$121)/data!$J$121</f>
        <v>-7.6161583905476615E-2</v>
      </c>
      <c r="J9" s="256">
        <f>data!$J$119</f>
        <v>4107.166666666667</v>
      </c>
      <c r="K9" s="246"/>
    </row>
    <row r="10" spans="1:11" ht="18" customHeight="1" thickBot="1" x14ac:dyDescent="0.2">
      <c r="B10" s="52" t="s">
        <v>6</v>
      </c>
      <c r="C10" s="91" t="str">
        <f>Summary_data!T19</f>
        <v>54,418.7 GB/day</v>
      </c>
      <c r="D10" s="91" t="str">
        <f>CONCATENATE(FIXED(1024*Summary_data!$Q$12,1), " GB/day")</f>
        <v>3,895.5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91"/>
      <c r="H11" s="293"/>
      <c r="I11" s="255"/>
      <c r="J11" s="295"/>
      <c r="K11" s="289"/>
    </row>
    <row r="12" spans="1:11" ht="18" customHeight="1" thickBot="1" x14ac:dyDescent="0.2">
      <c r="F12" s="249"/>
      <c r="G12" s="292"/>
      <c r="H12" s="294"/>
      <c r="I12" s="288"/>
      <c r="J12" s="296"/>
      <c r="K12" s="290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11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 I9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CONCATENATE("ORNL Summary for ", Summary_data!T1)</f>
        <v>ORNL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CONCATENATE(data!$K$2, " Distribution and User Trends ", Summary_data!S1)</f>
        <v>ORNL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Summary_data!$C$13</f>
        <v>ORNL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Summary_data!$D$13</f>
        <v>1297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Summary_data!G$13</f>
        <v>41777</v>
      </c>
      <c r="F5" s="275" t="s">
        <v>76</v>
      </c>
      <c r="G5" s="284">
        <f>data!$K$15</f>
        <v>26.890238</v>
      </c>
      <c r="H5" s="265"/>
      <c r="I5" s="254">
        <f>(data!$K$15-data!$K$17)/data!$K$17</f>
        <v>-0.14770718622281018</v>
      </c>
      <c r="J5" s="266">
        <f>data!$K$16</f>
        <v>2.2408531666666667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Summary_data!H$13</f>
        <v>46518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CONCATENATE(FIXED(1024*Summary_data!$K$13,1), " GB/day")</f>
        <v>17.5 GB/day</v>
      </c>
      <c r="F7" s="248" t="s">
        <v>70</v>
      </c>
      <c r="G7" s="286">
        <f>data!$K$67</f>
        <v>169.07318274293493</v>
      </c>
      <c r="H7" s="252"/>
      <c r="I7" s="254">
        <f>(data!$K$67-data!$K$69)/data!$K$69</f>
        <v>1.3595760632978247</v>
      </c>
      <c r="J7" s="261">
        <f>data!$K$68</f>
        <v>14.089431895244578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CONCATENATE(FIXED(Summary_data!$L$13,1), " TB")</f>
        <v>202.5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CONCATENATE(FIXED(Summary_data!$O$13,1), " M")</f>
        <v>26.9 M</v>
      </c>
      <c r="F9" s="248" t="s">
        <v>66</v>
      </c>
      <c r="G9" s="250">
        <f>data!$K$120</f>
        <v>16006</v>
      </c>
      <c r="H9" s="252"/>
      <c r="I9" s="254">
        <f>(data!$K$120-data!$K$121)/data!$K$121</f>
        <v>-0.28230651959465519</v>
      </c>
      <c r="J9" s="256">
        <f>data!$K$119</f>
        <v>1624.5</v>
      </c>
      <c r="K9" s="246"/>
    </row>
    <row r="10" spans="1:11" ht="18" customHeight="1" thickBot="1" x14ac:dyDescent="0.2">
      <c r="B10" s="52" t="s">
        <v>6</v>
      </c>
      <c r="C10" s="91" t="str">
        <f>Summary_data!T19</f>
        <v>54,418.7 GB/day</v>
      </c>
      <c r="D10" s="91" t="str">
        <f>CONCATENATE(FIXED(1024*Summary_data!$Q$13,1), " GB/day")</f>
        <v>474.3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data!$K$197</f>
        <v>33545</v>
      </c>
      <c r="H11" s="252"/>
      <c r="I11" s="254">
        <f>(data!$K$197-data!$K$198)/data!$K$198</f>
        <v>0.42562685932851679</v>
      </c>
      <c r="J11" s="256">
        <f>data!$K$196</f>
        <v>2936.4166666666665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{3E251777-48CB-6041-B959-26447995F755}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E251777-48CB-6041-B959-26447995F75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data!K183:K194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CONCATENATE("PO.DAAC Summary for ", Summary_data!T1)</f>
        <v>PO.DAAC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CONCATENATE(data!$L$2, " Distribution and User Trends ", Summary_data!S1)</f>
        <v>PO.DAAC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Summary_data!$C$14</f>
        <v>PO.DAAC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Summary_data!$D$14</f>
        <v>2614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Summary_data!G$14</f>
        <v>75840</v>
      </c>
      <c r="F5" s="275" t="s">
        <v>76</v>
      </c>
      <c r="G5" s="284">
        <f>data!$L$15</f>
        <v>87.788122999999999</v>
      </c>
      <c r="H5" s="265"/>
      <c r="I5" s="254">
        <f>(data!$L$15-data!$L$17)/data!$L$17</f>
        <v>-5.6224171795083711E-2</v>
      </c>
      <c r="J5" s="266">
        <f>data!$L$16</f>
        <v>7.3156769166666669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Summary_data!H$14</f>
        <v>39732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CONCATENATE(FIXED(1024*Summary_data!$K$14,1), " GB/day")</f>
        <v>236.9 GB/day</v>
      </c>
      <c r="F7" s="248" t="s">
        <v>70</v>
      </c>
      <c r="G7" s="286">
        <f>data!$L$67</f>
        <v>547.693270146636</v>
      </c>
      <c r="H7" s="252"/>
      <c r="I7" s="254">
        <f>(data!$L$67-data!$L$69)/data!$L$69</f>
        <v>0.13799242892888547</v>
      </c>
      <c r="J7" s="261">
        <f>data!$L$68</f>
        <v>45.641105845553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CONCATENATE(FIXED(Summary_data!$L$14,1), " TB")</f>
        <v>245.7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CONCATENATE(FIXED(Summary_data!$O$14,1), " M")</f>
        <v>87.8 M</v>
      </c>
      <c r="F9" s="248" t="s">
        <v>66</v>
      </c>
      <c r="G9" s="250">
        <f>data!$L$120</f>
        <v>57284</v>
      </c>
      <c r="H9" s="252"/>
      <c r="I9" s="254">
        <f>(data!$L$120-data!$L$121)/data!$L$121</f>
        <v>0.41567813364966388</v>
      </c>
      <c r="J9" s="256">
        <f>data!$L$119</f>
        <v>6147</v>
      </c>
      <c r="K9" s="246"/>
    </row>
    <row r="10" spans="1:11" ht="18" customHeight="1" thickBot="1" x14ac:dyDescent="0.2">
      <c r="B10" s="52" t="s">
        <v>6</v>
      </c>
      <c r="C10" s="91" t="str">
        <f>Summary_data!T19</f>
        <v>54,418.7 GB/day</v>
      </c>
      <c r="D10" s="91" t="str">
        <f>CONCATENATE(FIXED(1024*Summary_data!$Q$14,1), " GB/day")</f>
        <v>1,536.5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data!$L$197</f>
        <v>27157</v>
      </c>
      <c r="H11" s="252"/>
      <c r="I11" s="254">
        <f>(data!$L$197-data!$L$198)/data!$L$198</f>
        <v>7.9457826536290646E-2</v>
      </c>
      <c r="J11" s="256">
        <f>data!$L$196</f>
        <v>2416.5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{F46DD5FE-004D-4B40-A657-E48D0BB37332}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6DD5FE-004D-4B40-A657-E48D0BB37332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data!L183:L194</xm:f>
              <xm:sqref>K11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CONCATENATE("SEDAC Summary for ", Summary_data!T1)</f>
        <v>SEDAC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CONCATENATE(data!$M$2, " Distribution and User Trends ", Summary_data!S1)</f>
        <v>SEDAC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Summary_data!$C$15</f>
        <v>SEDAC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Summary_data!$D$15</f>
        <v>288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Summary_data!G$15</f>
        <v>403709</v>
      </c>
      <c r="F5" s="275" t="s">
        <v>76</v>
      </c>
      <c r="G5" s="284">
        <f>data!$M$15</f>
        <v>3.5554549999999998</v>
      </c>
      <c r="H5" s="265"/>
      <c r="I5" s="254">
        <f>(data!$M$15-data!$M$17)/data!$M$17</f>
        <v>-0.38565505844428716</v>
      </c>
      <c r="J5" s="266">
        <f>data!$M$16</f>
        <v>0.29628791666666665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Summary_data!H$15</f>
        <v>94980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91" t="str">
        <f>Summary_data!T16</f>
        <v>15,622.5 GB/day</v>
      </c>
      <c r="D7" s="89" t="str">
        <f>CONCATENATE(FIXED(1024*Summary_data!$K$15,2), " GB/day")</f>
        <v>0.59 GB/day</v>
      </c>
      <c r="F7" s="248" t="s">
        <v>70</v>
      </c>
      <c r="G7" s="286">
        <f>data!$M$67</f>
        <v>5.9447709620208062</v>
      </c>
      <c r="H7" s="252"/>
      <c r="I7" s="254">
        <f>(data!$M$67-data!$M$69)/data!$M$69</f>
        <v>1.0603316293135969</v>
      </c>
      <c r="J7" s="261">
        <f>data!$M$68</f>
        <v>0.49539758016840052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CONCATENATE(FIXED(Summary_data!$L$15,1), " TB")</f>
        <v>3.9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CONCATENATE(FIXED(Summary_data!$O$15,1), " M")</f>
        <v>3.6 M</v>
      </c>
      <c r="F9" s="248" t="s">
        <v>66</v>
      </c>
      <c r="G9" s="250">
        <f>data!$M$120</f>
        <v>368768</v>
      </c>
      <c r="H9" s="252"/>
      <c r="I9" s="254">
        <f>(data!$M$120-data!$M$121)/data!$M$121</f>
        <v>-0.41267664629649981</v>
      </c>
      <c r="J9" s="256">
        <f>data!$M$119</f>
        <v>35966.166666666664</v>
      </c>
      <c r="K9" s="246"/>
    </row>
    <row r="10" spans="1:11" ht="18" customHeight="1" thickBot="1" x14ac:dyDescent="0.2">
      <c r="B10" s="52" t="s">
        <v>6</v>
      </c>
      <c r="C10" s="91" t="str">
        <f>Summary_data!T19</f>
        <v>54,418.7 GB/day</v>
      </c>
      <c r="D10" s="91" t="str">
        <f>CONCATENATE(FIXED(1024*Summary_data!$Q$15,1), " GB/day")</f>
        <v>16.7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data!$M$197</f>
        <v>78103</v>
      </c>
      <c r="H11" s="252"/>
      <c r="I11" s="254">
        <f>(data!$M$197-data!$M$198)/data!$M$198</f>
        <v>7.1121960585323038E-2</v>
      </c>
      <c r="J11" s="256">
        <f>data!$M$196</f>
        <v>6714.833333333333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{85523759-5E8A-AD41-978C-47A06965EAC7}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523759-5E8A-AD41-978C-47A06965EAC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data!M183:M194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6"/>
  <sheetViews>
    <sheetView tabSelected="1" zoomScale="90" zoomScaleNormal="90" zoomScalePageLayoutView="90" workbookViewId="0">
      <selection activeCell="B1" sqref="B1:K33"/>
    </sheetView>
  </sheetViews>
  <sheetFormatPr baseColWidth="10" defaultColWidth="11.5" defaultRowHeight="13" x14ac:dyDescent="0.15"/>
  <cols>
    <col min="1" max="1" width="7.1640625" customWidth="1"/>
    <col min="2" max="2" width="54.5" customWidth="1"/>
    <col min="3" max="3" width="18.1640625" customWidth="1"/>
    <col min="4" max="4" width="17.5" customWidth="1"/>
    <col min="5" max="5" width="3.5" customWidth="1"/>
    <col min="6" max="6" width="16" customWidth="1"/>
    <col min="7" max="7" width="13" customWidth="1"/>
    <col min="8" max="8" width="1.6640625" customWidth="1"/>
    <col min="9" max="9" width="14" customWidth="1"/>
    <col min="10" max="10" width="15" customWidth="1"/>
    <col min="11" max="11" width="29.5" customWidth="1"/>
    <col min="12" max="12" width="19.83203125" customWidth="1"/>
    <col min="13" max="13" width="22.1640625" customWidth="1"/>
    <col min="14" max="14" width="42.83203125" customWidth="1"/>
    <col min="15" max="15" width="29.83203125" customWidth="1"/>
  </cols>
  <sheetData>
    <row r="1" spans="1:11" ht="52" customHeight="1" thickBot="1" x14ac:dyDescent="0.2">
      <c r="A1" s="9"/>
      <c r="B1" s="245" t="str">
        <f>CONCATENATE("LANCE Summary for ", Summary_data!T1)</f>
        <v>LANCE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CONCATENATE(L_data!B2, " Distribution and User Trends ", Summary_data!S1)</f>
        <v>LANCE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L_Summary_data!B4</f>
        <v>LANCE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156" t="s">
        <v>109</v>
      </c>
      <c r="C4" s="88">
        <f>Summary_data!T13</f>
        <v>11673</v>
      </c>
      <c r="D4" s="157">
        <f>L_Summary_data!C4</f>
        <v>372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158" t="s">
        <v>110</v>
      </c>
      <c r="C5" s="88">
        <f>Summary_data!T14</f>
        <v>3039604</v>
      </c>
      <c r="D5" s="159">
        <f>L_Summary_data!F4</f>
        <v>187845</v>
      </c>
      <c r="F5" s="275" t="s">
        <v>76</v>
      </c>
      <c r="G5" s="276">
        <f>L_data!B16</f>
        <v>123.179919</v>
      </c>
      <c r="H5" s="265"/>
      <c r="I5" s="254">
        <f>(L_data!B$16-L_data!B$18)/L_data!B$18</f>
        <v>0.61368500895073086</v>
      </c>
      <c r="J5" s="266">
        <f>L_data!B$17</f>
        <v>10.26499325</v>
      </c>
      <c r="K5" s="298"/>
    </row>
    <row r="6" spans="1:11" ht="18" customHeight="1" thickBot="1" x14ac:dyDescent="0.2">
      <c r="B6" s="158" t="s">
        <v>111</v>
      </c>
      <c r="C6" s="88"/>
      <c r="D6" s="159">
        <f>L_Summary_data!E4</f>
        <v>2560</v>
      </c>
      <c r="F6" s="258"/>
      <c r="G6" s="277"/>
      <c r="H6" s="252"/>
      <c r="I6" s="255"/>
      <c r="J6" s="261"/>
      <c r="K6" s="297"/>
    </row>
    <row r="7" spans="1:11" ht="18" customHeight="1" thickBot="1" x14ac:dyDescent="0.2">
      <c r="B7" s="158" t="s">
        <v>112</v>
      </c>
      <c r="C7" s="88"/>
      <c r="D7" s="159">
        <v>371685</v>
      </c>
      <c r="F7" s="248" t="s">
        <v>70</v>
      </c>
      <c r="G7" s="273">
        <f>L_data!B69</f>
        <v>889.13361675249917</v>
      </c>
      <c r="H7" s="252"/>
      <c r="I7" s="254">
        <f>(L_data!B$69-L_data!B$71)/L_data!B$71</f>
        <v>0.13068099845174558</v>
      </c>
      <c r="J7" s="261">
        <f>L_data!B$70</f>
        <v>74.094468062708259</v>
      </c>
      <c r="K7" s="297"/>
    </row>
    <row r="8" spans="1:11" ht="18" customHeight="1" thickBot="1" x14ac:dyDescent="0.2">
      <c r="B8" s="158" t="s">
        <v>2</v>
      </c>
      <c r="C8" s="88" t="str">
        <f>Summary_data!T5</f>
        <v>2.92 M</v>
      </c>
      <c r="D8" s="159" t="str">
        <f>CONCATENATE(FIXED(L_Summary_data!G$4/1000000,2), " M")</f>
        <v>0.30 M</v>
      </c>
      <c r="F8" s="258"/>
      <c r="G8" s="274"/>
      <c r="H8" s="252"/>
      <c r="I8" s="255"/>
      <c r="J8" s="261"/>
      <c r="K8" s="297"/>
    </row>
    <row r="9" spans="1:11" ht="18" customHeight="1" thickBot="1" x14ac:dyDescent="0.2">
      <c r="B9" s="158" t="s">
        <v>113</v>
      </c>
      <c r="C9" s="159" t="str">
        <f>Summary_data!T6</f>
        <v>15.3 TB/day</v>
      </c>
      <c r="D9" s="160" t="str">
        <f>CONCATENATE(FIXED(L_Summary_data!$J$4,1), " TB/day")</f>
        <v>3.0 TB/day</v>
      </c>
      <c r="F9" s="248" t="s">
        <v>114</v>
      </c>
      <c r="G9" s="250">
        <f>L_data!B$123</f>
        <v>2560</v>
      </c>
      <c r="H9" s="252"/>
      <c r="I9" s="254">
        <f>(L_data!B$123-L_data!B$124)/L_data!B$124</f>
        <v>0.29620253164556964</v>
      </c>
      <c r="J9" s="256">
        <f>L_data!B$122</f>
        <v>360.91666666666669</v>
      </c>
      <c r="K9" s="297"/>
    </row>
    <row r="10" spans="1:11" ht="21" customHeight="1" thickBot="1" x14ac:dyDescent="0.2">
      <c r="B10" s="158" t="s">
        <v>115</v>
      </c>
      <c r="C10" s="88" t="str">
        <f>Summary_data!T7</f>
        <v>23.8 PB</v>
      </c>
      <c r="D10" s="161" t="str">
        <f>CONCATENATE(FIXED(L_Summary_data!$K$4,1), " PB")</f>
        <v>1.1 PB</v>
      </c>
      <c r="F10" s="258"/>
      <c r="G10" s="259"/>
      <c r="H10" s="252"/>
      <c r="I10" s="255"/>
      <c r="J10" s="256"/>
      <c r="K10" s="297"/>
    </row>
    <row r="11" spans="1:11" ht="18" customHeight="1" thickBot="1" x14ac:dyDescent="0.2">
      <c r="B11" s="162" t="s">
        <v>5</v>
      </c>
      <c r="C11" s="88" t="str">
        <f>Summary_data!T8</f>
        <v>1,393.7 M</v>
      </c>
      <c r="D11" s="159" t="str">
        <f>CONCATENATE(FIXED(L_Summary_data!$N$4,1), " M")</f>
        <v>123.2 M</v>
      </c>
      <c r="E11" s="5"/>
      <c r="F11" s="248" t="s">
        <v>75</v>
      </c>
      <c r="G11" s="250">
        <f>L_data!B$196</f>
        <v>198199</v>
      </c>
      <c r="H11" s="252"/>
      <c r="I11" s="254">
        <f>(L_data!B$196-L_data!B$197)/L_data!B$197</f>
        <v>6.7192547921602411E-2</v>
      </c>
      <c r="J11" s="256">
        <f>L_data!B$195</f>
        <v>16740.25</v>
      </c>
      <c r="K11" s="297"/>
    </row>
    <row r="12" spans="1:11" ht="18" customHeight="1" thickBot="1" x14ac:dyDescent="0.2">
      <c r="B12" s="163" t="s">
        <v>6</v>
      </c>
      <c r="C12" s="161" t="str">
        <f>Summary_data!T9</f>
        <v>53.14 TB/day</v>
      </c>
      <c r="D12" s="161" t="str">
        <f>CONCATENATE(FIXED(L_Summary_data!$P$4,1), " TB/day")</f>
        <v>2.4 TB/day</v>
      </c>
      <c r="F12" s="249"/>
      <c r="G12" s="251"/>
      <c r="H12" s="253"/>
      <c r="I12" s="255"/>
      <c r="J12" s="257"/>
      <c r="K12" s="299"/>
    </row>
    <row r="13" spans="1:11" ht="21.75" customHeight="1" x14ac:dyDescent="0.15">
      <c r="B13" s="164" t="s">
        <v>116</v>
      </c>
      <c r="C13" s="165"/>
    </row>
    <row r="14" spans="1:11" ht="18" customHeight="1" x14ac:dyDescent="0.15">
      <c r="B14" s="164" t="s">
        <v>117</v>
      </c>
    </row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25" customHeight="1" x14ac:dyDescent="0.15"/>
    <row r="34" ht="25" customHeight="1" x14ac:dyDescent="0.15"/>
    <row r="35" ht="30" customHeight="1" x14ac:dyDescent="0.15"/>
    <row r="36" ht="30" customHeight="1" x14ac:dyDescent="0.15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1:K1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{984C1B2A-4516-4CF4-9B7B-6A5830316BAB}</x14:id>
        </ext>
      </extLst>
    </cfRule>
  </conditionalFormatting>
  <conditionalFormatting sqref="K9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{724AEEE0-7B7B-41CA-8505-F4284529BC10}</x14:id>
        </ext>
      </extLst>
    </cfRule>
  </conditionalFormatting>
  <conditionalFormatting sqref="K11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{5C5BC03B-69EA-449E-9F18-3651440170E7}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4C1B2A-4516-4CF4-9B7B-6A5830316BAB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24AEEE0-7B7B-41CA-8505-F4284529BC1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5C5BC03B-69EA-449E-9F18-3651440170E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L_data!B182:B193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L_data!B109:B120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L_data!B4:B15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L_data!B57:B68</xm:f>
              <xm:sqref>K7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Y71"/>
  <sheetViews>
    <sheetView topLeftCell="M1" zoomScale="90" zoomScaleNormal="90" workbookViewId="0">
      <selection activeCell="X14" sqref="X14"/>
    </sheetView>
  </sheetViews>
  <sheetFormatPr baseColWidth="10" defaultColWidth="8.83203125" defaultRowHeight="13" x14ac:dyDescent="0.15"/>
  <cols>
    <col min="1" max="2" width="6" customWidth="1"/>
    <col min="3" max="3" width="15.6640625" customWidth="1"/>
    <col min="4" max="4" width="22.5" customWidth="1"/>
    <col min="5" max="5" width="15.6640625" customWidth="1"/>
    <col min="6" max="6" width="20.1640625" customWidth="1"/>
    <col min="7" max="7" width="13.33203125" customWidth="1"/>
    <col min="8" max="8" width="11.33203125" customWidth="1"/>
    <col min="9" max="9" width="13.33203125" customWidth="1"/>
    <col min="10" max="10" width="14.33203125" customWidth="1"/>
    <col min="11" max="11" width="11.33203125" customWidth="1"/>
    <col min="12" max="13" width="14.5" customWidth="1"/>
    <col min="14" max="14" width="12.83203125" customWidth="1"/>
    <col min="15" max="15" width="10.33203125" bestFit="1" customWidth="1"/>
    <col min="16" max="16" width="15" bestFit="1" customWidth="1"/>
    <col min="19" max="19" width="47.83203125" customWidth="1"/>
    <col min="20" max="20" width="41.1640625" customWidth="1"/>
    <col min="23" max="23" width="19.1640625" customWidth="1"/>
  </cols>
  <sheetData>
    <row r="1" spans="1:25" ht="39" customHeight="1" x14ac:dyDescent="0.15">
      <c r="C1" s="300" t="s">
        <v>84</v>
      </c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S1" t="s">
        <v>149</v>
      </c>
      <c r="T1" t="s">
        <v>150</v>
      </c>
    </row>
    <row r="2" spans="1:25" ht="42" customHeight="1" thickBot="1" x14ac:dyDescent="0.2">
      <c r="S2" t="s">
        <v>151</v>
      </c>
      <c r="T2" t="s">
        <v>155</v>
      </c>
      <c r="X2" t="s">
        <v>157</v>
      </c>
      <c r="Y2" t="s">
        <v>158</v>
      </c>
    </row>
    <row r="3" spans="1:25" ht="36" customHeight="1" thickBot="1" x14ac:dyDescent="0.2">
      <c r="C3" s="35" t="s">
        <v>44</v>
      </c>
      <c r="D3" s="36" t="s">
        <v>26</v>
      </c>
      <c r="E3" s="13" t="s">
        <v>22</v>
      </c>
      <c r="F3" s="36" t="s">
        <v>27</v>
      </c>
      <c r="G3" s="36" t="s">
        <v>23</v>
      </c>
      <c r="H3" s="36" t="s">
        <v>28</v>
      </c>
      <c r="I3" s="13" t="s">
        <v>120</v>
      </c>
      <c r="J3" s="13" t="s">
        <v>121</v>
      </c>
      <c r="K3" s="13" t="s">
        <v>29</v>
      </c>
      <c r="L3" s="13" t="s">
        <v>85</v>
      </c>
      <c r="M3" s="13" t="s">
        <v>122</v>
      </c>
      <c r="N3" s="44" t="s">
        <v>123</v>
      </c>
      <c r="O3" s="37" t="s">
        <v>30</v>
      </c>
      <c r="P3" s="37" t="s">
        <v>31</v>
      </c>
      <c r="Q3" s="37" t="s">
        <v>32</v>
      </c>
      <c r="S3" s="74" t="s">
        <v>78</v>
      </c>
      <c r="T3" s="75">
        <f>T13</f>
        <v>11673</v>
      </c>
    </row>
    <row r="4" spans="1:25" ht="14" thickBot="1" x14ac:dyDescent="0.2">
      <c r="C4" s="31" t="s">
        <v>7</v>
      </c>
      <c r="D4" s="166">
        <v>1085</v>
      </c>
      <c r="E4" s="209">
        <v>40974</v>
      </c>
      <c r="F4" s="239">
        <v>4341</v>
      </c>
      <c r="G4" s="38">
        <f>E4+F4</f>
        <v>45315</v>
      </c>
      <c r="H4" s="209">
        <v>58238</v>
      </c>
      <c r="I4" s="210">
        <v>16.407171999999999</v>
      </c>
      <c r="J4" s="210">
        <v>715.52</v>
      </c>
      <c r="K4" s="39">
        <f>J4/365</f>
        <v>1.9603287671232876</v>
      </c>
      <c r="L4" s="210">
        <v>4179.5</v>
      </c>
      <c r="M4" s="167">
        <v>691.49</v>
      </c>
      <c r="N4" s="168">
        <v>20.842337000000001</v>
      </c>
      <c r="O4" s="167">
        <f>$D31</f>
        <v>31.037472000000001</v>
      </c>
      <c r="P4" s="167">
        <f>$D58</f>
        <v>2378.330091915208</v>
      </c>
      <c r="Q4" s="169">
        <f>P4/365</f>
        <v>6.5159728545622135</v>
      </c>
      <c r="S4" s="76" t="s">
        <v>1</v>
      </c>
      <c r="T4" s="77" t="str">
        <f>CONCATENATE(FIXED(T14/1000000,2)," M")</f>
        <v>3.04 M</v>
      </c>
    </row>
    <row r="5" spans="1:25" ht="14" thickBot="1" x14ac:dyDescent="0.2">
      <c r="C5" s="31" t="s">
        <v>8</v>
      </c>
      <c r="D5" s="166">
        <v>85</v>
      </c>
      <c r="E5" s="209">
        <v>70696</v>
      </c>
      <c r="F5" s="239">
        <v>14139</v>
      </c>
      <c r="G5" s="38">
        <f t="shared" ref="G5:G14" si="0">E5+F5</f>
        <v>84835</v>
      </c>
      <c r="H5" s="209">
        <v>108364</v>
      </c>
      <c r="I5" s="210">
        <v>6.2771980000000003</v>
      </c>
      <c r="J5" s="210">
        <v>2696.9667557239532</v>
      </c>
      <c r="K5" s="39">
        <f t="shared" ref="K5:K15" si="1">J5/365</f>
        <v>7.3889500156820631</v>
      </c>
      <c r="L5" s="210">
        <v>5230.0020340442661</v>
      </c>
      <c r="M5" s="167">
        <v>863.91934570312503</v>
      </c>
      <c r="N5" s="168">
        <v>2.266432</v>
      </c>
      <c r="O5" s="167">
        <f>$E31</f>
        <v>6.6679250000000003</v>
      </c>
      <c r="P5" s="167">
        <f>$E58</f>
        <v>1418.5444757995174</v>
      </c>
      <c r="Q5" s="169">
        <f t="shared" ref="Q5:Q15" si="2">P5/365</f>
        <v>3.8864232213685406</v>
      </c>
      <c r="S5" s="76" t="s">
        <v>79</v>
      </c>
      <c r="T5" s="78" t="str">
        <f>CONCATENATE(FIXED(T15/1000000,2)," M")</f>
        <v>2.92 M</v>
      </c>
    </row>
    <row r="6" spans="1:25" ht="14" thickBot="1" x14ac:dyDescent="0.2">
      <c r="C6" s="31" t="s">
        <v>9</v>
      </c>
      <c r="D6" s="166">
        <v>242</v>
      </c>
      <c r="E6" s="209">
        <v>11549</v>
      </c>
      <c r="F6" s="239">
        <v>257540</v>
      </c>
      <c r="G6" s="38">
        <f t="shared" si="0"/>
        <v>269089</v>
      </c>
      <c r="H6" s="209">
        <v>14866</v>
      </c>
      <c r="I6" s="210">
        <v>22.261301</v>
      </c>
      <c r="J6" s="210">
        <v>2.6202929687499998</v>
      </c>
      <c r="K6" s="39">
        <f t="shared" si="1"/>
        <v>7.1788848458904106E-3</v>
      </c>
      <c r="L6" s="210">
        <v>20.16</v>
      </c>
      <c r="M6" s="167">
        <v>2.7561816406249999</v>
      </c>
      <c r="N6" s="168">
        <v>28.416678999999998</v>
      </c>
      <c r="O6" s="167">
        <f>$F31</f>
        <v>384.034918</v>
      </c>
      <c r="P6" s="167">
        <f>$F58</f>
        <v>151.56757468700411</v>
      </c>
      <c r="Q6" s="169">
        <f t="shared" si="2"/>
        <v>0.4152536292794633</v>
      </c>
      <c r="S6" s="76" t="s">
        <v>80</v>
      </c>
      <c r="T6" s="77" t="str">
        <f>CONCATENATE(FIXED(J16/365,1)," TB/day")</f>
        <v>15.3 TB/day</v>
      </c>
    </row>
    <row r="7" spans="1:25" ht="14" thickBot="1" x14ac:dyDescent="0.2">
      <c r="C7" s="31" t="s">
        <v>10</v>
      </c>
      <c r="D7" s="166">
        <v>2013</v>
      </c>
      <c r="E7" s="209">
        <v>118779</v>
      </c>
      <c r="F7" s="239">
        <v>63649</v>
      </c>
      <c r="G7" s="38">
        <f t="shared" si="0"/>
        <v>182428</v>
      </c>
      <c r="H7" s="209">
        <v>190206</v>
      </c>
      <c r="I7" s="210">
        <v>36.682519999999997</v>
      </c>
      <c r="J7" s="210">
        <v>561.48004882812495</v>
      </c>
      <c r="K7" s="39">
        <f t="shared" si="1"/>
        <v>1.5383015036386984</v>
      </c>
      <c r="L7" s="210">
        <v>1682.9938281249999</v>
      </c>
      <c r="M7" s="167">
        <v>654.13081054687495</v>
      </c>
      <c r="N7" s="168">
        <v>20.340782999999998</v>
      </c>
      <c r="O7" s="167">
        <f>$G31</f>
        <v>257.50330300000002</v>
      </c>
      <c r="P7" s="167">
        <f>$G58</f>
        <v>5627.2969162931304</v>
      </c>
      <c r="Q7" s="169">
        <f t="shared" si="2"/>
        <v>15.417251825460632</v>
      </c>
      <c r="S7" s="76" t="s">
        <v>4</v>
      </c>
      <c r="T7" s="79" t="str">
        <f>CONCATENATE(FIXED(L16/1024,1)," PB")</f>
        <v>23.8 PB</v>
      </c>
    </row>
    <row r="8" spans="1:25" ht="14" thickBot="1" x14ac:dyDescent="0.2">
      <c r="C8" s="31" t="s">
        <v>11</v>
      </c>
      <c r="D8" s="166">
        <v>404</v>
      </c>
      <c r="E8" s="209">
        <v>15823</v>
      </c>
      <c r="F8" s="239">
        <v>4429</v>
      </c>
      <c r="G8" s="38">
        <f t="shared" si="0"/>
        <v>20252</v>
      </c>
      <c r="H8" s="209">
        <v>23160</v>
      </c>
      <c r="I8" s="210">
        <v>1.6861010000000001</v>
      </c>
      <c r="J8" s="210">
        <v>3.8811328125000002</v>
      </c>
      <c r="K8" s="39">
        <f t="shared" si="1"/>
        <v>1.0633240582191781E-2</v>
      </c>
      <c r="L8" s="210">
        <v>16.097031250000001</v>
      </c>
      <c r="M8" s="167">
        <v>2.3901171875</v>
      </c>
      <c r="N8" s="168">
        <v>0.41497200000000001</v>
      </c>
      <c r="O8" s="167">
        <f>$H31</f>
        <v>6.8701800000000004</v>
      </c>
      <c r="P8" s="167">
        <f>$H58</f>
        <v>20.591103977747451</v>
      </c>
      <c r="Q8" s="169">
        <f t="shared" si="2"/>
        <v>5.6413983500677951E-2</v>
      </c>
      <c r="S8" s="76" t="s">
        <v>5</v>
      </c>
      <c r="T8" s="80" t="str">
        <f>CONCATENATE(FIXED(O16+L_Summary_data!N4,1)," M")</f>
        <v>1,393.7 M</v>
      </c>
    </row>
    <row r="9" spans="1:25" ht="14" thickBot="1" x14ac:dyDescent="0.2">
      <c r="C9" s="33" t="s">
        <v>19</v>
      </c>
      <c r="D9" s="166">
        <v>527</v>
      </c>
      <c r="E9" s="209">
        <v>141014</v>
      </c>
      <c r="F9" s="239">
        <v>94936</v>
      </c>
      <c r="G9" s="38">
        <f t="shared" si="0"/>
        <v>235950</v>
      </c>
      <c r="H9" s="209">
        <v>195153</v>
      </c>
      <c r="I9" s="210">
        <v>36.784789000000004</v>
      </c>
      <c r="J9" s="210">
        <v>269.52566406250003</v>
      </c>
      <c r="K9" s="39">
        <f t="shared" si="1"/>
        <v>0.73842647688356167</v>
      </c>
      <c r="L9" s="210">
        <v>3104.99</v>
      </c>
      <c r="M9" s="167">
        <v>841.95802734375002</v>
      </c>
      <c r="N9" s="168">
        <v>48.637940999999998</v>
      </c>
      <c r="O9" s="167">
        <f>$I31</f>
        <v>208.186137</v>
      </c>
      <c r="P9" s="167">
        <f>$I58</f>
        <v>4255.6231546384679</v>
      </c>
      <c r="Q9" s="169">
        <f t="shared" si="2"/>
        <v>11.659241519557446</v>
      </c>
      <c r="S9" s="76" t="s">
        <v>81</v>
      </c>
      <c r="T9" s="77" t="str">
        <f>CONCATENATE(FIXED(P16/365+L_Summary_data!O4/365,2)," TB/day")</f>
        <v>53.14 TB/day</v>
      </c>
    </row>
    <row r="10" spans="1:25" x14ac:dyDescent="0.15">
      <c r="C10" s="33" t="s">
        <v>12</v>
      </c>
      <c r="D10" s="166">
        <v>1906</v>
      </c>
      <c r="E10" s="209">
        <v>169008</v>
      </c>
      <c r="F10" s="239">
        <v>219111</v>
      </c>
      <c r="G10" s="38">
        <f t="shared" si="0"/>
        <v>388119</v>
      </c>
      <c r="H10" s="209">
        <v>301594</v>
      </c>
      <c r="I10" s="210">
        <v>15.481513</v>
      </c>
      <c r="J10" s="210">
        <v>302.07156250000003</v>
      </c>
      <c r="K10" s="39">
        <f t="shared" si="1"/>
        <v>0.82759332191780832</v>
      </c>
      <c r="L10" s="210">
        <v>5817.7347851562499</v>
      </c>
      <c r="M10" s="167">
        <v>1158.8829199218751</v>
      </c>
      <c r="N10" s="168">
        <v>124.901492</v>
      </c>
      <c r="O10" s="167">
        <f>$J31</f>
        <v>107.761906</v>
      </c>
      <c r="P10" s="167">
        <f>$J58</f>
        <v>2161.3215733560392</v>
      </c>
      <c r="Q10" s="169">
        <f t="shared" si="2"/>
        <v>5.9214289680987378</v>
      </c>
    </row>
    <row r="11" spans="1:25" x14ac:dyDescent="0.15">
      <c r="C11" s="33" t="s">
        <v>13</v>
      </c>
      <c r="D11" s="166">
        <v>655</v>
      </c>
      <c r="E11" s="209">
        <v>572807</v>
      </c>
      <c r="F11" s="239">
        <v>19660</v>
      </c>
      <c r="G11" s="38">
        <f t="shared" si="0"/>
        <v>592467</v>
      </c>
      <c r="H11" s="209">
        <v>857579</v>
      </c>
      <c r="I11" s="210">
        <v>39.008600000000001</v>
      </c>
      <c r="J11" s="210">
        <v>243.01175781250001</v>
      </c>
      <c r="K11" s="39">
        <f t="shared" si="1"/>
        <v>0.66578563784246581</v>
      </c>
      <c r="L11" s="210">
        <v>428.189697265625</v>
      </c>
      <c r="M11" s="167">
        <v>108.75025390624999</v>
      </c>
      <c r="N11" s="168">
        <v>17.457996999999999</v>
      </c>
      <c r="O11" s="167">
        <f>$K31</f>
        <v>102.272879</v>
      </c>
      <c r="P11" s="167">
        <f>$K58</f>
        <v>383.64800415002031</v>
      </c>
      <c r="Q11" s="169">
        <f t="shared" si="2"/>
        <v>1.0510904223288229</v>
      </c>
    </row>
    <row r="12" spans="1:25" ht="14" thickBot="1" x14ac:dyDescent="0.2">
      <c r="C12" s="33" t="s">
        <v>24</v>
      </c>
      <c r="D12" s="166">
        <v>185</v>
      </c>
      <c r="E12" s="209"/>
      <c r="F12" s="239">
        <v>34716</v>
      </c>
      <c r="G12" s="38">
        <f t="shared" si="0"/>
        <v>34716</v>
      </c>
      <c r="H12" s="209"/>
      <c r="I12" s="244">
        <v>13.165929999999999</v>
      </c>
      <c r="J12" s="244">
        <v>682.58507441406255</v>
      </c>
      <c r="K12" s="39">
        <f t="shared" si="1"/>
        <v>1.8700960942851028</v>
      </c>
      <c r="L12" s="210">
        <v>3445.9434108734131</v>
      </c>
      <c r="M12" s="167"/>
      <c r="N12" s="168"/>
      <c r="O12" s="167">
        <f>$L31</f>
        <v>47.917738</v>
      </c>
      <c r="P12" s="167">
        <f>$L58</f>
        <v>1388.5250310475176</v>
      </c>
      <c r="Q12" s="169">
        <f t="shared" si="2"/>
        <v>3.8041781672534727</v>
      </c>
      <c r="T12" t="s">
        <v>156</v>
      </c>
    </row>
    <row r="13" spans="1:25" ht="14" thickBot="1" x14ac:dyDescent="0.2">
      <c r="C13" s="33" t="s">
        <v>14</v>
      </c>
      <c r="D13" s="166">
        <v>1297</v>
      </c>
      <c r="E13" s="209">
        <v>33545</v>
      </c>
      <c r="F13" s="239">
        <v>8232</v>
      </c>
      <c r="G13" s="38">
        <f t="shared" si="0"/>
        <v>41777</v>
      </c>
      <c r="H13" s="209">
        <v>46518</v>
      </c>
      <c r="I13" s="210">
        <v>0.122598</v>
      </c>
      <c r="J13" s="210">
        <v>6.222900390625</v>
      </c>
      <c r="K13" s="39">
        <f t="shared" si="1"/>
        <v>1.7049042166095891E-2</v>
      </c>
      <c r="L13" s="210">
        <v>202.5</v>
      </c>
      <c r="M13" s="167">
        <v>13.6337890625</v>
      </c>
      <c r="N13" s="168">
        <v>2.3674650000000002</v>
      </c>
      <c r="O13" s="167">
        <f>$M31</f>
        <v>26.890238</v>
      </c>
      <c r="P13" s="167">
        <f>$M58</f>
        <v>169.07318274293493</v>
      </c>
      <c r="Q13" s="169">
        <f t="shared" si="2"/>
        <v>0.46321419929571217</v>
      </c>
      <c r="S13" s="74" t="s">
        <v>78</v>
      </c>
      <c r="T13" s="75">
        <v>11673</v>
      </c>
    </row>
    <row r="14" spans="1:25" ht="14" thickBot="1" x14ac:dyDescent="0.2">
      <c r="C14" s="33" t="s">
        <v>17</v>
      </c>
      <c r="D14" s="166">
        <v>2614</v>
      </c>
      <c r="E14" s="209">
        <v>27157</v>
      </c>
      <c r="F14" s="239">
        <v>48683</v>
      </c>
      <c r="G14" s="38">
        <f t="shared" si="0"/>
        <v>75840</v>
      </c>
      <c r="H14" s="209">
        <v>39732</v>
      </c>
      <c r="I14" s="210">
        <v>3.823137</v>
      </c>
      <c r="J14" s="210">
        <v>84.457910156249994</v>
      </c>
      <c r="K14" s="39">
        <f t="shared" si="1"/>
        <v>0.23139153467465751</v>
      </c>
      <c r="L14" s="210">
        <v>245.70528320312502</v>
      </c>
      <c r="M14" s="167">
        <v>77.763984375000007</v>
      </c>
      <c r="N14" s="168">
        <v>4.1796350000000002</v>
      </c>
      <c r="O14" s="167">
        <f>$N31</f>
        <v>87.788122999999999</v>
      </c>
      <c r="P14" s="167">
        <f>$N58</f>
        <v>547.693270146636</v>
      </c>
      <c r="Q14" s="169">
        <f t="shared" si="2"/>
        <v>1.5005295072510576</v>
      </c>
      <c r="S14" s="76" t="s">
        <v>1</v>
      </c>
      <c r="T14" s="78">
        <v>3039604</v>
      </c>
    </row>
    <row r="15" spans="1:25" ht="14" thickBot="1" x14ac:dyDescent="0.2">
      <c r="C15" s="33" t="s">
        <v>15</v>
      </c>
      <c r="D15" s="166">
        <v>288</v>
      </c>
      <c r="E15" s="209">
        <v>78103</v>
      </c>
      <c r="F15" s="239">
        <v>325606</v>
      </c>
      <c r="G15" s="38">
        <f>E15+F15</f>
        <v>403709</v>
      </c>
      <c r="H15" s="209">
        <v>94980</v>
      </c>
      <c r="I15" s="210">
        <v>6.2000000000000003E-5</v>
      </c>
      <c r="J15" s="210">
        <v>0.21141601562500001</v>
      </c>
      <c r="K15" s="39">
        <f t="shared" si="1"/>
        <v>5.7922196061643838E-4</v>
      </c>
      <c r="L15" s="210">
        <v>3.88087890625</v>
      </c>
      <c r="M15" s="167">
        <v>0.35462890624999999</v>
      </c>
      <c r="N15" s="168">
        <v>4.1999999999999998E-5</v>
      </c>
      <c r="O15" s="167">
        <f>$O31</f>
        <v>3.5554549999999998</v>
      </c>
      <c r="P15" s="167">
        <f>$O58</f>
        <v>5.9447709620208062</v>
      </c>
      <c r="Q15" s="169">
        <f t="shared" si="2"/>
        <v>1.6287043731563852E-2</v>
      </c>
      <c r="S15" s="76" t="s">
        <v>79</v>
      </c>
      <c r="T15" s="78">
        <v>2921622</v>
      </c>
    </row>
    <row r="16" spans="1:25" s="3" customFormat="1" ht="14" thickBot="1" x14ac:dyDescent="0.2">
      <c r="A16"/>
      <c r="B16"/>
      <c r="C16" s="34" t="s">
        <v>16</v>
      </c>
      <c r="D16" s="10">
        <f t="shared" ref="D16:J16" si="3">SUM(D4:D15)</f>
        <v>11301</v>
      </c>
      <c r="E16" s="10">
        <f t="shared" si="3"/>
        <v>1279455</v>
      </c>
      <c r="F16" s="10">
        <f t="shared" si="3"/>
        <v>1095042</v>
      </c>
      <c r="G16" s="10">
        <f t="shared" si="3"/>
        <v>2374497</v>
      </c>
      <c r="H16" s="10">
        <f t="shared" si="3"/>
        <v>1930390</v>
      </c>
      <c r="I16" s="11">
        <f t="shared" si="3"/>
        <v>191.70092100000002</v>
      </c>
      <c r="J16" s="11">
        <f t="shared" si="3"/>
        <v>5568.5545156848912</v>
      </c>
      <c r="K16" s="12">
        <f>J16/365</f>
        <v>15.256313741602442</v>
      </c>
      <c r="L16" s="11">
        <f>SUM(L4:L15)</f>
        <v>24377.69694882393</v>
      </c>
      <c r="M16" s="11">
        <f>SUM(M4:M15)</f>
        <v>4416.0300585937503</v>
      </c>
      <c r="N16" s="11">
        <f>SUM(N4:N15)</f>
        <v>269.82577500000002</v>
      </c>
      <c r="O16" s="11">
        <f>SUM(O4:O15)</f>
        <v>1270.4862740000001</v>
      </c>
      <c r="P16" s="11">
        <f>SUM(P4:P15)</f>
        <v>18508.159149716244</v>
      </c>
      <c r="S16" s="76" t="s">
        <v>80</v>
      </c>
      <c r="T16" s="77" t="str">
        <f>CONCATENATE(FIXED(J16*1024/365,1)," GB/day")</f>
        <v>15,622.5 GB/day</v>
      </c>
      <c r="U16"/>
      <c r="V16"/>
    </row>
    <row r="17" spans="1:23" s="3" customFormat="1" ht="14" thickBot="1" x14ac:dyDescent="0.2">
      <c r="A17"/>
      <c r="B17"/>
      <c r="K17" s="14"/>
      <c r="L17" s="11"/>
      <c r="M17" s="11"/>
      <c r="S17" s="76" t="s">
        <v>4</v>
      </c>
      <c r="T17" s="79" t="str">
        <f>CONCATENATE(FIXED(L16,1)," TB")</f>
        <v>24,377.7 TB</v>
      </c>
      <c r="U17"/>
    </row>
    <row r="18" spans="1:23" s="3" customFormat="1" ht="14" thickBot="1" x14ac:dyDescent="0.2">
      <c r="A18"/>
      <c r="B18"/>
      <c r="L18" s="3" t="s">
        <v>103</v>
      </c>
      <c r="S18" s="76" t="s">
        <v>5</v>
      </c>
      <c r="T18" s="80" t="s">
        <v>152</v>
      </c>
      <c r="U18"/>
    </row>
    <row r="19" spans="1:23" ht="14" thickBot="1" x14ac:dyDescent="0.2">
      <c r="C19" s="61" t="s">
        <v>74</v>
      </c>
      <c r="H19" s="3"/>
      <c r="I19" s="3"/>
      <c r="K19" s="3"/>
      <c r="L19" s="3"/>
      <c r="M19" s="3"/>
      <c r="S19" s="76" t="s">
        <v>81</v>
      </c>
      <c r="T19" s="77" t="str">
        <f>CONCATENATE(FIXED((P16+L_Summary_data!O4)*1024/365,1)," GB/day")</f>
        <v>54,418.7 GB/day</v>
      </c>
    </row>
    <row r="20" spans="1:23" x14ac:dyDescent="0.15">
      <c r="C20" t="s">
        <v>55</v>
      </c>
      <c r="D20" s="31" t="s">
        <v>7</v>
      </c>
      <c r="E20" s="31" t="s">
        <v>8</v>
      </c>
      <c r="F20" s="31" t="s">
        <v>9</v>
      </c>
      <c r="G20" s="31" t="s">
        <v>10</v>
      </c>
      <c r="H20" s="31" t="s">
        <v>11</v>
      </c>
      <c r="I20" s="33" t="s">
        <v>19</v>
      </c>
      <c r="J20" s="33" t="s">
        <v>12</v>
      </c>
      <c r="K20" s="33" t="s">
        <v>13</v>
      </c>
      <c r="L20" s="33" t="s">
        <v>24</v>
      </c>
      <c r="M20" s="33" t="s">
        <v>14</v>
      </c>
      <c r="N20" s="33" t="s">
        <v>17</v>
      </c>
      <c r="O20" s="33" t="s">
        <v>15</v>
      </c>
      <c r="P20" s="34" t="s">
        <v>16</v>
      </c>
      <c r="R20" s="73"/>
    </row>
    <row r="21" spans="1:23" x14ac:dyDescent="0.15">
      <c r="C21" s="45" t="s">
        <v>67</v>
      </c>
      <c r="D21" s="170">
        <f t="shared" ref="D21:O21" si="4">D34/1000000</f>
        <v>0</v>
      </c>
      <c r="E21" s="170">
        <f t="shared" si="4"/>
        <v>0</v>
      </c>
      <c r="F21" s="170">
        <f t="shared" si="4"/>
        <v>0</v>
      </c>
      <c r="G21" s="170">
        <f t="shared" si="4"/>
        <v>22.917339999999999</v>
      </c>
      <c r="H21" s="170">
        <f t="shared" si="4"/>
        <v>0</v>
      </c>
      <c r="I21" s="170">
        <f t="shared" si="4"/>
        <v>0.148617</v>
      </c>
      <c r="J21" s="170">
        <f t="shared" si="4"/>
        <v>33.570419000000001</v>
      </c>
      <c r="K21" s="170">
        <f t="shared" si="4"/>
        <v>0.64234100000000005</v>
      </c>
      <c r="L21" s="170">
        <f t="shared" si="4"/>
        <v>0</v>
      </c>
      <c r="M21" s="170">
        <f t="shared" si="4"/>
        <v>0</v>
      </c>
      <c r="N21" s="170">
        <f t="shared" si="4"/>
        <v>0</v>
      </c>
      <c r="O21" s="170">
        <f t="shared" si="4"/>
        <v>0</v>
      </c>
      <c r="P21" s="170">
        <f>SUM(D21:O21)</f>
        <v>57.278717</v>
      </c>
    </row>
    <row r="22" spans="1:23" x14ac:dyDescent="0.15">
      <c r="C22" s="45" t="s">
        <v>45</v>
      </c>
      <c r="D22" s="170">
        <f t="shared" ref="D22:O22" si="5">D35/1000000</f>
        <v>3.5718839999999998</v>
      </c>
      <c r="E22" s="170">
        <f t="shared" si="5"/>
        <v>0.30386999999999997</v>
      </c>
      <c r="F22" s="170">
        <f t="shared" si="5"/>
        <v>0</v>
      </c>
      <c r="G22" s="170">
        <f t="shared" si="5"/>
        <v>38.747579999999999</v>
      </c>
      <c r="H22" s="170">
        <f t="shared" si="5"/>
        <v>10.177527</v>
      </c>
      <c r="I22" s="170">
        <f t="shared" si="5"/>
        <v>16.757476</v>
      </c>
      <c r="J22" s="170">
        <f t="shared" si="5"/>
        <v>47.736139999999999</v>
      </c>
      <c r="K22" s="170">
        <f t="shared" si="5"/>
        <v>10.732725</v>
      </c>
      <c r="L22" s="170">
        <f t="shared" si="5"/>
        <v>10.672893999999999</v>
      </c>
      <c r="M22" s="170">
        <f t="shared" si="5"/>
        <v>0.39932299999999998</v>
      </c>
      <c r="N22" s="170">
        <f t="shared" si="5"/>
        <v>16.487646000000002</v>
      </c>
      <c r="O22" s="170">
        <f t="shared" si="5"/>
        <v>7.4131000000000002E-2</v>
      </c>
      <c r="P22" s="170">
        <f>SUM(D22:O22)</f>
        <v>155.66119599999999</v>
      </c>
      <c r="S22" s="207" t="s">
        <v>144</v>
      </c>
    </row>
    <row r="23" spans="1:23" x14ac:dyDescent="0.15">
      <c r="C23" s="45" t="s">
        <v>46</v>
      </c>
      <c r="D23" s="170">
        <f t="shared" ref="D23:O23" si="6">D36/1000000</f>
        <v>5.1073000000000004</v>
      </c>
      <c r="E23" s="170">
        <f t="shared" si="6"/>
        <v>0.47285700000000003</v>
      </c>
      <c r="F23" s="170">
        <f t="shared" si="6"/>
        <v>37.058059999999998</v>
      </c>
      <c r="G23" s="170">
        <f t="shared" si="6"/>
        <v>54.500664</v>
      </c>
      <c r="H23" s="170">
        <f t="shared" si="6"/>
        <v>5.6774750000000003</v>
      </c>
      <c r="I23" s="170">
        <f t="shared" si="6"/>
        <v>38.827043000000003</v>
      </c>
      <c r="J23" s="170">
        <f t="shared" si="6"/>
        <v>47.205446000000002</v>
      </c>
      <c r="K23" s="170">
        <f t="shared" si="6"/>
        <v>17.247733</v>
      </c>
      <c r="L23" s="170">
        <f t="shared" si="6"/>
        <v>8.655132</v>
      </c>
      <c r="M23" s="170">
        <f t="shared" si="6"/>
        <v>7.6994199999999999</v>
      </c>
      <c r="N23" s="170">
        <f t="shared" si="6"/>
        <v>31.722079000000001</v>
      </c>
      <c r="O23" s="170">
        <f t="shared" si="6"/>
        <v>0.49062</v>
      </c>
      <c r="P23" s="170">
        <f t="shared" ref="P23:P29" si="7">SUM(D23:O23)</f>
        <v>254.66382900000002</v>
      </c>
    </row>
    <row r="24" spans="1:23" x14ac:dyDescent="0.15">
      <c r="C24" s="45" t="s">
        <v>47</v>
      </c>
      <c r="D24" s="170">
        <f t="shared" ref="D24:O24" si="8">D37/1000000</f>
        <v>4.4062020000000004</v>
      </c>
      <c r="E24" s="170">
        <f t="shared" si="8"/>
        <v>0.101671</v>
      </c>
      <c r="F24" s="170">
        <f t="shared" si="8"/>
        <v>52.599871</v>
      </c>
      <c r="G24" s="170">
        <f t="shared" si="8"/>
        <v>84.223157999999998</v>
      </c>
      <c r="H24" s="170">
        <f t="shared" si="8"/>
        <v>0.65940500000000002</v>
      </c>
      <c r="I24" s="170">
        <f t="shared" si="8"/>
        <v>51.945273</v>
      </c>
      <c r="J24" s="170">
        <f t="shared" si="8"/>
        <v>79.756398000000004</v>
      </c>
      <c r="K24" s="170">
        <f t="shared" si="8"/>
        <v>22.897912999999999</v>
      </c>
      <c r="L24" s="170">
        <f t="shared" si="8"/>
        <v>12.42596</v>
      </c>
      <c r="M24" s="170">
        <f t="shared" si="8"/>
        <v>49.882874999999999</v>
      </c>
      <c r="N24" s="170">
        <f t="shared" si="8"/>
        <v>50.334622000000003</v>
      </c>
      <c r="O24" s="170">
        <f t="shared" si="8"/>
        <v>3.5663849999999999</v>
      </c>
      <c r="P24" s="170">
        <f t="shared" si="7"/>
        <v>412.799733</v>
      </c>
    </row>
    <row r="25" spans="1:23" x14ac:dyDescent="0.15">
      <c r="C25" s="45" t="s">
        <v>48</v>
      </c>
      <c r="D25" s="170">
        <f t="shared" ref="D25:O25" si="9">D38/1000000</f>
        <v>5.042249</v>
      </c>
      <c r="E25" s="170">
        <f t="shared" si="9"/>
        <v>0.36860900000000002</v>
      </c>
      <c r="F25" s="170">
        <f t="shared" si="9"/>
        <v>112.330657</v>
      </c>
      <c r="G25" s="170">
        <f t="shared" si="9"/>
        <v>133.841386</v>
      </c>
      <c r="H25" s="170">
        <f t="shared" si="9"/>
        <v>0.72013300000000002</v>
      </c>
      <c r="I25" s="170">
        <f t="shared" si="9"/>
        <v>63.965963000000002</v>
      </c>
      <c r="J25" s="170">
        <f t="shared" si="9"/>
        <v>98.766036999999997</v>
      </c>
      <c r="K25" s="170">
        <f t="shared" si="9"/>
        <v>20.180631999999999</v>
      </c>
      <c r="L25" s="170">
        <f t="shared" si="9"/>
        <v>20.538207</v>
      </c>
      <c r="M25" s="170">
        <f t="shared" si="9"/>
        <v>3.194725</v>
      </c>
      <c r="N25" s="170">
        <f t="shared" si="9"/>
        <v>38.272939999999998</v>
      </c>
      <c r="O25" s="170">
        <f t="shared" si="9"/>
        <v>4.1586509999999999</v>
      </c>
      <c r="P25" s="170">
        <f t="shared" si="7"/>
        <v>501.38018900000003</v>
      </c>
      <c r="W25" s="60"/>
    </row>
    <row r="26" spans="1:23" x14ac:dyDescent="0.15">
      <c r="C26" s="45" t="s">
        <v>49</v>
      </c>
      <c r="D26" s="170">
        <f t="shared" ref="D26:O26" si="10">D39/1000000</f>
        <v>10.626249</v>
      </c>
      <c r="E26" s="170">
        <f t="shared" si="10"/>
        <v>0.846248</v>
      </c>
      <c r="F26" s="170">
        <f t="shared" si="10"/>
        <v>120.025964</v>
      </c>
      <c r="G26" s="170">
        <f t="shared" si="10"/>
        <v>168.67674700000001</v>
      </c>
      <c r="H26" s="170">
        <f t="shared" si="10"/>
        <v>0.79108500000000004</v>
      </c>
      <c r="I26" s="170">
        <f t="shared" si="10"/>
        <v>70.588599000000002</v>
      </c>
      <c r="J26" s="170">
        <f t="shared" si="10"/>
        <v>95.246110000000002</v>
      </c>
      <c r="K26" s="170">
        <f t="shared" si="10"/>
        <v>24.339347</v>
      </c>
      <c r="L26" s="170">
        <f t="shared" si="10"/>
        <v>16.768246000000001</v>
      </c>
      <c r="M26" s="170">
        <f t="shared" si="10"/>
        <v>6.7061929999999998</v>
      </c>
      <c r="N26" s="170">
        <f t="shared" si="10"/>
        <v>54.068233999999997</v>
      </c>
      <c r="O26" s="170">
        <f t="shared" si="10"/>
        <v>1.5993269999999999</v>
      </c>
      <c r="P26" s="170">
        <f t="shared" si="7"/>
        <v>570.28234899999995</v>
      </c>
    </row>
    <row r="27" spans="1:23" x14ac:dyDescent="0.15">
      <c r="C27" s="45" t="s">
        <v>50</v>
      </c>
      <c r="D27" s="170">
        <f t="shared" ref="D27:O27" si="11">D40/1000000</f>
        <v>10.212370999999999</v>
      </c>
      <c r="E27" s="170">
        <f t="shared" si="11"/>
        <v>0.67360799999999998</v>
      </c>
      <c r="F27" s="170">
        <f t="shared" si="11"/>
        <v>120.930572</v>
      </c>
      <c r="G27" s="170">
        <f t="shared" si="11"/>
        <v>209.906859</v>
      </c>
      <c r="H27" s="170">
        <f t="shared" si="11"/>
        <v>4.4349480000000003</v>
      </c>
      <c r="I27" s="170">
        <f t="shared" si="11"/>
        <v>111.743424</v>
      </c>
      <c r="J27" s="170">
        <f t="shared" si="11"/>
        <v>135.28649799999999</v>
      </c>
      <c r="K27" s="170">
        <f t="shared" si="11"/>
        <v>38.223084999999998</v>
      </c>
      <c r="L27" s="170">
        <f t="shared" si="11"/>
        <v>18.293759999999999</v>
      </c>
      <c r="M27" s="170">
        <f t="shared" si="11"/>
        <v>5.756697</v>
      </c>
      <c r="N27" s="170">
        <f t="shared" si="11"/>
        <v>89.251096000000004</v>
      </c>
      <c r="O27" s="170">
        <f t="shared" si="11"/>
        <v>4.6872220000000002</v>
      </c>
      <c r="P27" s="170">
        <f t="shared" si="7"/>
        <v>749.40014000000008</v>
      </c>
    </row>
    <row r="28" spans="1:23" x14ac:dyDescent="0.15">
      <c r="C28" s="45" t="s">
        <v>51</v>
      </c>
      <c r="D28" s="170">
        <f t="shared" ref="D28:O31" si="12">D41/1000000</f>
        <v>15.472293000000001</v>
      </c>
      <c r="E28" s="170">
        <f t="shared" si="12"/>
        <v>1.1101460000000001</v>
      </c>
      <c r="F28" s="170">
        <f t="shared" si="12"/>
        <v>144.29374799999999</v>
      </c>
      <c r="G28" s="170">
        <f t="shared" si="12"/>
        <v>283.25595800000002</v>
      </c>
      <c r="H28" s="170">
        <f t="shared" si="12"/>
        <v>4.4983519999999997</v>
      </c>
      <c r="I28" s="170">
        <f t="shared" si="12"/>
        <v>127.080485</v>
      </c>
      <c r="J28" s="170">
        <f t="shared" si="12"/>
        <v>196.13767899999999</v>
      </c>
      <c r="K28" s="170">
        <f t="shared" si="12"/>
        <v>67.730322000000001</v>
      </c>
      <c r="L28" s="170">
        <f t="shared" si="12"/>
        <v>27.464272000000001</v>
      </c>
      <c r="M28" s="170">
        <f t="shared" si="12"/>
        <v>13.607626</v>
      </c>
      <c r="N28" s="170">
        <f t="shared" si="12"/>
        <v>71.263045000000005</v>
      </c>
      <c r="O28" s="170">
        <f t="shared" si="12"/>
        <v>6.3922129999999999</v>
      </c>
      <c r="P28" s="170">
        <f t="shared" si="7"/>
        <v>958.30613900000003</v>
      </c>
    </row>
    <row r="29" spans="1:23" x14ac:dyDescent="0.15">
      <c r="C29" s="45" t="s">
        <v>53</v>
      </c>
      <c r="D29" s="170">
        <f t="shared" si="12"/>
        <v>15.943277</v>
      </c>
      <c r="E29" s="170">
        <f t="shared" si="12"/>
        <v>2.0008599999999999</v>
      </c>
      <c r="F29" s="170">
        <f t="shared" si="12"/>
        <v>172.03639100000001</v>
      </c>
      <c r="G29" s="170">
        <f t="shared" si="12"/>
        <v>405.060654</v>
      </c>
      <c r="H29" s="170">
        <f t="shared" si="12"/>
        <v>6.3843249999999996</v>
      </c>
      <c r="I29" s="170">
        <f t="shared" si="12"/>
        <v>163.27644599999999</v>
      </c>
      <c r="J29" s="170">
        <f t="shared" si="12"/>
        <v>360.64454699999999</v>
      </c>
      <c r="K29" s="170">
        <f t="shared" si="12"/>
        <v>70.647366000000005</v>
      </c>
      <c r="L29" s="170">
        <f t="shared" si="12"/>
        <v>56.956518000000003</v>
      </c>
      <c r="M29" s="170">
        <f t="shared" si="12"/>
        <v>13.084823</v>
      </c>
      <c r="N29" s="170">
        <f t="shared" si="12"/>
        <v>77.176446999999996</v>
      </c>
      <c r="O29" s="170">
        <f t="shared" si="12"/>
        <v>7.6517379999999999</v>
      </c>
      <c r="P29" s="170">
        <f t="shared" si="7"/>
        <v>1350.863392</v>
      </c>
    </row>
    <row r="30" spans="1:23" x14ac:dyDescent="0.15">
      <c r="C30" s="45" t="s">
        <v>87</v>
      </c>
      <c r="D30" s="170">
        <f t="shared" si="12"/>
        <v>18.483861999999998</v>
      </c>
      <c r="E30" s="170">
        <f t="shared" si="12"/>
        <v>5.1804249999999996</v>
      </c>
      <c r="F30" s="170">
        <f t="shared" si="12"/>
        <v>316.508622</v>
      </c>
      <c r="G30" s="170">
        <f t="shared" si="12"/>
        <v>409.16399200000001</v>
      </c>
      <c r="H30" s="170">
        <f t="shared" si="12"/>
        <v>3.9329890000000001</v>
      </c>
      <c r="I30" s="170">
        <f t="shared" si="12"/>
        <v>174.59097600000001</v>
      </c>
      <c r="J30" s="170">
        <f t="shared" si="12"/>
        <v>230.71311800000001</v>
      </c>
      <c r="K30" s="170">
        <f t="shared" si="12"/>
        <v>82.185432000000006</v>
      </c>
      <c r="L30" s="170">
        <f t="shared" si="12"/>
        <v>65.432243</v>
      </c>
      <c r="M30" s="170">
        <f t="shared" si="12"/>
        <v>31.550469</v>
      </c>
      <c r="N30" s="170">
        <f t="shared" si="12"/>
        <v>93.017982000000003</v>
      </c>
      <c r="O30" s="170">
        <f t="shared" si="12"/>
        <v>5.7873919999999996</v>
      </c>
      <c r="P30" s="170">
        <f>SUM(D30:O30)</f>
        <v>1436.5475020000001</v>
      </c>
    </row>
    <row r="31" spans="1:23" x14ac:dyDescent="0.15">
      <c r="C31" s="45" t="s">
        <v>124</v>
      </c>
      <c r="D31" s="170">
        <f t="shared" si="12"/>
        <v>31.037472000000001</v>
      </c>
      <c r="E31" s="170">
        <f t="shared" si="12"/>
        <v>6.6679250000000003</v>
      </c>
      <c r="F31" s="170">
        <f t="shared" si="12"/>
        <v>384.034918</v>
      </c>
      <c r="G31" s="170">
        <f t="shared" si="12"/>
        <v>257.50330300000002</v>
      </c>
      <c r="H31" s="170">
        <f t="shared" si="12"/>
        <v>6.8701800000000004</v>
      </c>
      <c r="I31" s="170">
        <f t="shared" si="12"/>
        <v>208.186137</v>
      </c>
      <c r="J31" s="170">
        <f t="shared" si="12"/>
        <v>107.761906</v>
      </c>
      <c r="K31" s="170">
        <f t="shared" si="12"/>
        <v>102.272879</v>
      </c>
      <c r="L31" s="170">
        <f t="shared" si="12"/>
        <v>47.917738</v>
      </c>
      <c r="M31" s="170">
        <f t="shared" si="12"/>
        <v>26.890238</v>
      </c>
      <c r="N31" s="170">
        <f t="shared" si="12"/>
        <v>87.788122999999999</v>
      </c>
      <c r="O31" s="170">
        <f t="shared" si="12"/>
        <v>3.5554549999999998</v>
      </c>
      <c r="P31" s="170">
        <f>SUM(D31:O31)</f>
        <v>1270.4862740000001</v>
      </c>
    </row>
    <row r="32" spans="1:23" x14ac:dyDescent="0.15">
      <c r="C32" s="61" t="s">
        <v>73</v>
      </c>
      <c r="D32" s="171"/>
      <c r="E32" s="171"/>
      <c r="F32" s="171"/>
      <c r="G32" s="171"/>
      <c r="H32" s="172"/>
      <c r="I32" s="172"/>
      <c r="J32" s="171"/>
      <c r="K32" s="172"/>
      <c r="L32" s="172"/>
      <c r="M32" s="172"/>
      <c r="N32" s="171"/>
      <c r="O32" s="171"/>
      <c r="P32" s="171"/>
      <c r="R32" s="60"/>
    </row>
    <row r="33" spans="3:20" x14ac:dyDescent="0.15">
      <c r="C33" t="s">
        <v>55</v>
      </c>
      <c r="D33" s="173" t="s">
        <v>7</v>
      </c>
      <c r="E33" s="173" t="s">
        <v>8</v>
      </c>
      <c r="F33" s="173" t="s">
        <v>9</v>
      </c>
      <c r="G33" s="173" t="s">
        <v>10</v>
      </c>
      <c r="H33" s="173" t="s">
        <v>11</v>
      </c>
      <c r="I33" s="174" t="s">
        <v>19</v>
      </c>
      <c r="J33" s="174" t="s">
        <v>12</v>
      </c>
      <c r="K33" s="174" t="s">
        <v>13</v>
      </c>
      <c r="L33" s="174" t="s">
        <v>24</v>
      </c>
      <c r="M33" s="174" t="s">
        <v>14</v>
      </c>
      <c r="N33" s="174" t="s">
        <v>17</v>
      </c>
      <c r="O33" s="174" t="s">
        <v>15</v>
      </c>
      <c r="P33" s="175" t="s">
        <v>16</v>
      </c>
    </row>
    <row r="34" spans="3:20" x14ac:dyDescent="0.15">
      <c r="C34" s="45" t="s">
        <v>67</v>
      </c>
      <c r="D34" s="176"/>
      <c r="E34" s="176"/>
      <c r="F34" s="176"/>
      <c r="G34" s="177">
        <v>22917340</v>
      </c>
      <c r="H34" s="176"/>
      <c r="I34" s="177">
        <v>148617</v>
      </c>
      <c r="J34" s="177">
        <v>33570419</v>
      </c>
      <c r="K34" s="177">
        <v>642341</v>
      </c>
      <c r="L34" s="176"/>
      <c r="M34" s="176"/>
      <c r="N34" s="176"/>
      <c r="O34" s="176"/>
      <c r="P34" s="176">
        <f>SUM(D34:O34)</f>
        <v>57278717</v>
      </c>
    </row>
    <row r="35" spans="3:20" x14ac:dyDescent="0.15">
      <c r="C35" s="45" t="s">
        <v>45</v>
      </c>
      <c r="D35" s="176">
        <v>3571884</v>
      </c>
      <c r="E35" s="176">
        <v>303870</v>
      </c>
      <c r="F35" s="176"/>
      <c r="G35" s="176">
        <v>38747580</v>
      </c>
      <c r="H35" s="176">
        <v>10177527</v>
      </c>
      <c r="I35" s="176">
        <v>16757476</v>
      </c>
      <c r="J35" s="176">
        <v>47736140</v>
      </c>
      <c r="K35" s="176">
        <v>10732725</v>
      </c>
      <c r="L35" s="176">
        <v>10672894</v>
      </c>
      <c r="M35" s="176">
        <v>399323</v>
      </c>
      <c r="N35" s="176">
        <v>16487646</v>
      </c>
      <c r="O35" s="176">
        <v>74131</v>
      </c>
      <c r="P35" s="176">
        <f>SUM(D35:O35)</f>
        <v>155661196</v>
      </c>
    </row>
    <row r="36" spans="3:20" x14ac:dyDescent="0.15">
      <c r="C36" s="45" t="s">
        <v>46</v>
      </c>
      <c r="D36" s="176">
        <v>5107300</v>
      </c>
      <c r="E36" s="176">
        <v>472857</v>
      </c>
      <c r="F36" s="176">
        <v>37058060</v>
      </c>
      <c r="G36" s="176">
        <v>54500664</v>
      </c>
      <c r="H36" s="176">
        <v>5677475</v>
      </c>
      <c r="I36" s="176">
        <v>38827043</v>
      </c>
      <c r="J36" s="176">
        <v>47205446</v>
      </c>
      <c r="K36" s="176">
        <v>17247733</v>
      </c>
      <c r="L36" s="176">
        <v>8655132</v>
      </c>
      <c r="M36" s="176">
        <v>7699420</v>
      </c>
      <c r="N36" s="176">
        <v>31722079</v>
      </c>
      <c r="O36" s="176">
        <v>490620</v>
      </c>
      <c r="P36" s="176">
        <f t="shared" ref="P36:P42" si="13">SUM(D36:O36)</f>
        <v>254663829</v>
      </c>
    </row>
    <row r="37" spans="3:20" x14ac:dyDescent="0.15">
      <c r="C37" s="45" t="s">
        <v>47</v>
      </c>
      <c r="D37" s="176">
        <v>4406202</v>
      </c>
      <c r="E37" s="176">
        <v>101671</v>
      </c>
      <c r="F37" s="176">
        <v>52599871</v>
      </c>
      <c r="G37" s="176">
        <v>84223158</v>
      </c>
      <c r="H37" s="176">
        <v>659405</v>
      </c>
      <c r="I37" s="176">
        <v>51945273</v>
      </c>
      <c r="J37" s="176">
        <v>79756398</v>
      </c>
      <c r="K37" s="176">
        <v>22897913</v>
      </c>
      <c r="L37" s="176">
        <v>12425960</v>
      </c>
      <c r="M37" s="176">
        <v>49882875</v>
      </c>
      <c r="N37" s="176">
        <v>50334622</v>
      </c>
      <c r="O37" s="176">
        <v>3566385</v>
      </c>
      <c r="P37" s="176">
        <f t="shared" si="13"/>
        <v>412799733</v>
      </c>
    </row>
    <row r="38" spans="3:20" x14ac:dyDescent="0.15">
      <c r="C38" s="45" t="s">
        <v>48</v>
      </c>
      <c r="D38" s="176">
        <v>5042249</v>
      </c>
      <c r="E38" s="176">
        <v>368609</v>
      </c>
      <c r="F38" s="176">
        <v>112330657</v>
      </c>
      <c r="G38" s="176">
        <v>133841386</v>
      </c>
      <c r="H38" s="176">
        <v>720133</v>
      </c>
      <c r="I38" s="176">
        <v>63965963</v>
      </c>
      <c r="J38" s="176">
        <v>98766037</v>
      </c>
      <c r="K38" s="176">
        <v>20180632</v>
      </c>
      <c r="L38" s="176">
        <v>20538207</v>
      </c>
      <c r="M38" s="176">
        <v>3194725</v>
      </c>
      <c r="N38" s="176">
        <v>38272940</v>
      </c>
      <c r="O38" s="176">
        <v>4158651</v>
      </c>
      <c r="P38" s="176">
        <f t="shared" si="13"/>
        <v>501380189</v>
      </c>
    </row>
    <row r="39" spans="3:20" x14ac:dyDescent="0.15">
      <c r="C39" s="45" t="s">
        <v>49</v>
      </c>
      <c r="D39" s="176">
        <v>10626249</v>
      </c>
      <c r="E39" s="176">
        <v>846248</v>
      </c>
      <c r="F39" s="176">
        <v>120025964</v>
      </c>
      <c r="G39" s="176">
        <v>168676747</v>
      </c>
      <c r="H39" s="176">
        <v>791085</v>
      </c>
      <c r="I39" s="176">
        <v>70588599</v>
      </c>
      <c r="J39" s="176">
        <v>95246110</v>
      </c>
      <c r="K39" s="176">
        <v>24339347</v>
      </c>
      <c r="L39" s="176">
        <v>16768246</v>
      </c>
      <c r="M39" s="176">
        <v>6706193</v>
      </c>
      <c r="N39" s="176">
        <v>54068234</v>
      </c>
      <c r="O39" s="176">
        <v>1599327</v>
      </c>
      <c r="P39" s="176">
        <f t="shared" si="13"/>
        <v>570282349</v>
      </c>
    </row>
    <row r="40" spans="3:20" x14ac:dyDescent="0.15">
      <c r="C40" s="45" t="s">
        <v>50</v>
      </c>
      <c r="D40" s="176">
        <v>10212371</v>
      </c>
      <c r="E40" s="176">
        <v>673608</v>
      </c>
      <c r="F40" s="176">
        <v>120930572</v>
      </c>
      <c r="G40" s="176">
        <v>209906859</v>
      </c>
      <c r="H40" s="176">
        <v>4434948</v>
      </c>
      <c r="I40" s="176">
        <v>111743424</v>
      </c>
      <c r="J40" s="176">
        <v>135286498</v>
      </c>
      <c r="K40" s="176">
        <v>38223085</v>
      </c>
      <c r="L40" s="176">
        <v>18293760</v>
      </c>
      <c r="M40" s="176">
        <v>5756697</v>
      </c>
      <c r="N40" s="176">
        <v>89251096</v>
      </c>
      <c r="O40" s="176">
        <v>4687222</v>
      </c>
      <c r="P40" s="176">
        <f t="shared" si="13"/>
        <v>749400140</v>
      </c>
    </row>
    <row r="41" spans="3:20" x14ac:dyDescent="0.15">
      <c r="C41" s="45" t="s">
        <v>51</v>
      </c>
      <c r="D41" s="176">
        <v>15472293</v>
      </c>
      <c r="E41" s="176">
        <v>1110146</v>
      </c>
      <c r="F41" s="176">
        <v>144293748</v>
      </c>
      <c r="G41" s="176">
        <v>283255958</v>
      </c>
      <c r="H41" s="176">
        <v>4498352</v>
      </c>
      <c r="I41" s="176">
        <v>127080485</v>
      </c>
      <c r="J41" s="176">
        <v>196137679</v>
      </c>
      <c r="K41" s="176">
        <v>67730322</v>
      </c>
      <c r="L41" s="176">
        <v>27464272</v>
      </c>
      <c r="M41" s="176">
        <v>13607626</v>
      </c>
      <c r="N41" s="176">
        <v>71263045</v>
      </c>
      <c r="O41" s="176">
        <v>6392213</v>
      </c>
      <c r="P41" s="176">
        <f t="shared" si="13"/>
        <v>958306139</v>
      </c>
    </row>
    <row r="42" spans="3:20" x14ac:dyDescent="0.15">
      <c r="C42" s="45" t="s">
        <v>53</v>
      </c>
      <c r="D42" s="176">
        <v>15943277</v>
      </c>
      <c r="E42" s="176">
        <v>2000860</v>
      </c>
      <c r="F42" s="176">
        <v>172036391</v>
      </c>
      <c r="G42" s="176">
        <v>405060654</v>
      </c>
      <c r="H42" s="176">
        <v>6384325</v>
      </c>
      <c r="I42" s="176">
        <v>163276446</v>
      </c>
      <c r="J42" s="176">
        <v>360644547</v>
      </c>
      <c r="K42" s="176">
        <v>70647366</v>
      </c>
      <c r="L42" s="176">
        <v>56956518</v>
      </c>
      <c r="M42" s="176">
        <v>13084823</v>
      </c>
      <c r="N42" s="176">
        <v>77176447</v>
      </c>
      <c r="O42" s="176">
        <v>7651738</v>
      </c>
      <c r="P42" s="176">
        <f t="shared" si="13"/>
        <v>1350863392</v>
      </c>
    </row>
    <row r="43" spans="3:20" x14ac:dyDescent="0.15">
      <c r="C43" s="45" t="s">
        <v>87</v>
      </c>
      <c r="D43" s="176">
        <v>18483862</v>
      </c>
      <c r="E43" s="176">
        <v>5180425</v>
      </c>
      <c r="F43" s="176">
        <v>316508622</v>
      </c>
      <c r="G43" s="176">
        <v>409163992</v>
      </c>
      <c r="H43" s="176">
        <v>3932989</v>
      </c>
      <c r="I43" s="176">
        <v>174590976</v>
      </c>
      <c r="J43" s="176">
        <v>230713118</v>
      </c>
      <c r="K43" s="176">
        <v>82185432</v>
      </c>
      <c r="L43" s="176">
        <v>65432243</v>
      </c>
      <c r="M43" s="176">
        <v>31550469</v>
      </c>
      <c r="N43" s="176">
        <v>93017982</v>
      </c>
      <c r="O43" s="176">
        <v>5787392</v>
      </c>
      <c r="P43" s="176">
        <f>SUM(D43:O43)</f>
        <v>1436547502</v>
      </c>
    </row>
    <row r="44" spans="3:20" x14ac:dyDescent="0.15">
      <c r="C44" s="45" t="s">
        <v>124</v>
      </c>
      <c r="D44" s="176">
        <v>31037472</v>
      </c>
      <c r="E44" s="176">
        <v>6667925</v>
      </c>
      <c r="F44" s="176">
        <v>384034918</v>
      </c>
      <c r="G44" s="176">
        <v>257503303</v>
      </c>
      <c r="H44" s="176">
        <v>6870180</v>
      </c>
      <c r="I44" s="176">
        <v>208186137</v>
      </c>
      <c r="J44" s="176">
        <v>107761906</v>
      </c>
      <c r="K44" s="176">
        <v>102272879</v>
      </c>
      <c r="L44" s="176">
        <v>47917738</v>
      </c>
      <c r="M44" s="176">
        <v>26890238</v>
      </c>
      <c r="N44" s="176">
        <v>87788123</v>
      </c>
      <c r="O44" s="176">
        <v>3555455</v>
      </c>
      <c r="P44" s="176">
        <f>SUM(D44:O44)</f>
        <v>1270486274</v>
      </c>
    </row>
    <row r="45" spans="3:20" x14ac:dyDescent="0.15"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</row>
    <row r="46" spans="3:20" x14ac:dyDescent="0.15">
      <c r="C46" s="59" t="s">
        <v>31</v>
      </c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T46" s="12"/>
    </row>
    <row r="47" spans="3:20" x14ac:dyDescent="0.15">
      <c r="C47" t="s">
        <v>55</v>
      </c>
      <c r="D47" s="173" t="s">
        <v>7</v>
      </c>
      <c r="E47" s="173" t="s">
        <v>8</v>
      </c>
      <c r="F47" s="173" t="s">
        <v>9</v>
      </c>
      <c r="G47" s="173" t="s">
        <v>10</v>
      </c>
      <c r="H47" s="173" t="s">
        <v>11</v>
      </c>
      <c r="I47" s="174" t="s">
        <v>19</v>
      </c>
      <c r="J47" s="174" t="s">
        <v>12</v>
      </c>
      <c r="K47" s="174" t="s">
        <v>13</v>
      </c>
      <c r="L47" s="174" t="s">
        <v>24</v>
      </c>
      <c r="M47" s="174" t="s">
        <v>14</v>
      </c>
      <c r="N47" s="174" t="s">
        <v>17</v>
      </c>
      <c r="O47" s="174" t="s">
        <v>15</v>
      </c>
      <c r="P47" s="175" t="s">
        <v>16</v>
      </c>
    </row>
    <row r="48" spans="3:20" x14ac:dyDescent="0.15">
      <c r="C48" s="45" t="s">
        <v>67</v>
      </c>
      <c r="D48" s="178">
        <f>D61/1024</f>
        <v>0</v>
      </c>
      <c r="E48" s="178">
        <f t="shared" ref="E48:O48" si="14">E61/1024</f>
        <v>0</v>
      </c>
      <c r="F48" s="178">
        <f t="shared" si="14"/>
        <v>0</v>
      </c>
      <c r="G48" s="178">
        <f t="shared" si="14"/>
        <v>72.887439727783203</v>
      </c>
      <c r="H48" s="178">
        <f t="shared" si="14"/>
        <v>0</v>
      </c>
      <c r="I48" s="178">
        <f t="shared" si="14"/>
        <v>6.6466856002807617</v>
      </c>
      <c r="J48" s="178">
        <f t="shared" si="14"/>
        <v>569.63172245025635</v>
      </c>
      <c r="K48" s="178">
        <f t="shared" si="14"/>
        <v>15.27695369720459</v>
      </c>
      <c r="L48" s="178">
        <f t="shared" si="14"/>
        <v>0</v>
      </c>
      <c r="M48" s="178">
        <f t="shared" si="14"/>
        <v>0</v>
      </c>
      <c r="N48" s="178">
        <f t="shared" si="14"/>
        <v>0</v>
      </c>
      <c r="O48" s="178">
        <f t="shared" si="14"/>
        <v>0</v>
      </c>
      <c r="P48" s="178">
        <f t="shared" ref="P48:P56" si="15">SUM(D48:O48)</f>
        <v>664.4428014755249</v>
      </c>
    </row>
    <row r="49" spans="3:16" x14ac:dyDescent="0.15">
      <c r="C49" s="45" t="s">
        <v>45</v>
      </c>
      <c r="D49" s="178">
        <f t="shared" ref="D49:O49" si="16">D62/1024</f>
        <v>167.13747070312499</v>
      </c>
      <c r="E49" s="178">
        <f t="shared" si="16"/>
        <v>16.502822265624999</v>
      </c>
      <c r="F49" s="178">
        <f t="shared" si="16"/>
        <v>0</v>
      </c>
      <c r="G49" s="178">
        <f t="shared" si="16"/>
        <v>302.798525390625</v>
      </c>
      <c r="H49" s="178">
        <f t="shared" si="16"/>
        <v>12.077285156249999</v>
      </c>
      <c r="I49" s="178">
        <f t="shared" si="16"/>
        <v>448.11910156250002</v>
      </c>
      <c r="J49" s="178">
        <f t="shared" si="16"/>
        <v>813.94316406250005</v>
      </c>
      <c r="K49" s="178">
        <f t="shared" si="16"/>
        <v>81.316943359375017</v>
      </c>
      <c r="L49" s="178">
        <f t="shared" si="16"/>
        <v>61.039814453125004</v>
      </c>
      <c r="M49" s="178">
        <f t="shared" si="16"/>
        <v>0.73624999999999996</v>
      </c>
      <c r="N49" s="178">
        <f t="shared" si="16"/>
        <v>62.173291015624997</v>
      </c>
      <c r="O49" s="178">
        <f t="shared" si="16"/>
        <v>6.4423828124999999E-2</v>
      </c>
      <c r="P49" s="178">
        <f t="shared" si="15"/>
        <v>1965.9090917968749</v>
      </c>
    </row>
    <row r="50" spans="3:16" x14ac:dyDescent="0.15">
      <c r="C50" s="45" t="s">
        <v>46</v>
      </c>
      <c r="D50" s="178">
        <f t="shared" ref="D50:O50" si="17">D63/1024</f>
        <v>187.91737431887725</v>
      </c>
      <c r="E50" s="178">
        <f t="shared" si="17"/>
        <v>41.982201290367755</v>
      </c>
      <c r="F50" s="178">
        <f t="shared" si="17"/>
        <v>9.2010803301645563</v>
      </c>
      <c r="G50" s="178">
        <f t="shared" si="17"/>
        <v>487.31976638919554</v>
      </c>
      <c r="H50" s="178">
        <f t="shared" si="17"/>
        <v>8.6275993815233729</v>
      </c>
      <c r="I50" s="178">
        <f t="shared" si="17"/>
        <v>538.93535439403638</v>
      </c>
      <c r="J50" s="178">
        <f t="shared" si="17"/>
        <v>866.74800395509101</v>
      </c>
      <c r="K50" s="178">
        <f t="shared" si="17"/>
        <v>119.99649580963224</v>
      </c>
      <c r="L50" s="178">
        <f t="shared" si="17"/>
        <v>73.955380859374998</v>
      </c>
      <c r="M50" s="178">
        <f t="shared" si="17"/>
        <v>2.859052655876436</v>
      </c>
      <c r="N50" s="178">
        <f t="shared" si="17"/>
        <v>91.35252567675154</v>
      </c>
      <c r="O50" s="178">
        <f t="shared" si="17"/>
        <v>0.31630323165882113</v>
      </c>
      <c r="P50" s="178">
        <f t="shared" si="15"/>
        <v>2429.21113829255</v>
      </c>
    </row>
    <row r="51" spans="3:16" x14ac:dyDescent="0.15">
      <c r="C51" s="45" t="s">
        <v>47</v>
      </c>
      <c r="D51" s="178">
        <f t="shared" ref="D51:O51" si="18">D64/1024</f>
        <v>232.70969726562498</v>
      </c>
      <c r="E51" s="178">
        <f t="shared" si="18"/>
        <v>2.6634765624999996</v>
      </c>
      <c r="F51" s="178">
        <f t="shared" si="18"/>
        <v>17.431845703124999</v>
      </c>
      <c r="G51" s="178">
        <f t="shared" si="18"/>
        <v>698.67523437499995</v>
      </c>
      <c r="H51" s="178">
        <f t="shared" si="18"/>
        <v>12.410048828124999</v>
      </c>
      <c r="I51" s="178">
        <f t="shared" si="18"/>
        <v>952.70526367187506</v>
      </c>
      <c r="J51" s="178">
        <f t="shared" si="18"/>
        <v>1287.3805273437499</v>
      </c>
      <c r="K51" s="178">
        <f t="shared" si="18"/>
        <v>140.17009765624999</v>
      </c>
      <c r="L51" s="178">
        <f t="shared" si="18"/>
        <v>173.84639648437499</v>
      </c>
      <c r="M51" s="178">
        <f t="shared" si="18"/>
        <v>4.9920605468749999</v>
      </c>
      <c r="N51" s="178">
        <f t="shared" si="18"/>
        <v>104.92124023437498</v>
      </c>
      <c r="O51" s="178">
        <f t="shared" si="18"/>
        <v>1.4294628906250002</v>
      </c>
      <c r="P51" s="178">
        <f t="shared" si="15"/>
        <v>3629.3353515624999</v>
      </c>
    </row>
    <row r="52" spans="3:16" x14ac:dyDescent="0.15">
      <c r="C52" s="45" t="s">
        <v>48</v>
      </c>
      <c r="D52" s="178">
        <f t="shared" ref="D52:O52" si="19">D65/1024</f>
        <v>195.51196289062503</v>
      </c>
      <c r="E52" s="178">
        <f t="shared" si="19"/>
        <v>103.10643554687501</v>
      </c>
      <c r="F52" s="178">
        <f t="shared" si="19"/>
        <v>35.759873046874993</v>
      </c>
      <c r="G52" s="178">
        <f t="shared" si="19"/>
        <v>1042.4527050781248</v>
      </c>
      <c r="H52" s="178">
        <f t="shared" si="19"/>
        <v>5.9392285156250013</v>
      </c>
      <c r="I52" s="178">
        <f t="shared" si="19"/>
        <v>1178.54642578125</v>
      </c>
      <c r="J52" s="178">
        <f t="shared" si="19"/>
        <v>1578.3927832031247</v>
      </c>
      <c r="K52" s="178">
        <f t="shared" si="19"/>
        <v>185.13569335937498</v>
      </c>
      <c r="L52" s="178">
        <f t="shared" si="19"/>
        <v>282.97775390625003</v>
      </c>
      <c r="M52" s="178">
        <f t="shared" si="19"/>
        <v>7.1624121093750004</v>
      </c>
      <c r="N52" s="178">
        <f t="shared" si="19"/>
        <v>111.833525390625</v>
      </c>
      <c r="O52" s="178">
        <f t="shared" si="19"/>
        <v>2.8848242187499995</v>
      </c>
      <c r="P52" s="178">
        <f t="shared" si="15"/>
        <v>4729.7036230468739</v>
      </c>
    </row>
    <row r="53" spans="3:16" x14ac:dyDescent="0.15">
      <c r="C53" s="45" t="s">
        <v>49</v>
      </c>
      <c r="D53" s="178">
        <f t="shared" ref="D53:O53" si="20">D66/1024</f>
        <v>643.93322265624988</v>
      </c>
      <c r="E53" s="178">
        <f t="shared" si="20"/>
        <v>188.17906250000001</v>
      </c>
      <c r="F53" s="178">
        <f t="shared" si="20"/>
        <v>37.516135742187501</v>
      </c>
      <c r="G53" s="178">
        <f t="shared" si="20"/>
        <v>1327.66482421875</v>
      </c>
      <c r="H53" s="178">
        <f t="shared" si="20"/>
        <v>7.2834960937500011</v>
      </c>
      <c r="I53" s="178">
        <f t="shared" si="20"/>
        <v>1200.866494140625</v>
      </c>
      <c r="J53" s="178">
        <f t="shared" si="20"/>
        <v>1289.7931152343751</v>
      </c>
      <c r="K53" s="178">
        <f t="shared" si="20"/>
        <v>168.339326171875</v>
      </c>
      <c r="L53" s="178">
        <f t="shared" si="20"/>
        <v>370.48637695312499</v>
      </c>
      <c r="M53" s="178">
        <f t="shared" si="20"/>
        <v>10.159755859375002</v>
      </c>
      <c r="N53" s="178">
        <f t="shared" si="20"/>
        <v>161.62029296874999</v>
      </c>
      <c r="O53" s="178">
        <f t="shared" si="20"/>
        <v>1.470908203125</v>
      </c>
      <c r="P53" s="178">
        <f t="shared" si="15"/>
        <v>5407.3130107421866</v>
      </c>
    </row>
    <row r="54" spans="3:16" x14ac:dyDescent="0.15">
      <c r="C54" s="45" t="s">
        <v>50</v>
      </c>
      <c r="D54" s="178">
        <f t="shared" ref="D54:O54" si="21">D67/1024</f>
        <v>624.53989257812486</v>
      </c>
      <c r="E54" s="178">
        <f t="shared" si="21"/>
        <v>81.960292968749997</v>
      </c>
      <c r="F54" s="178">
        <f t="shared" si="21"/>
        <v>48.773496093749998</v>
      </c>
      <c r="G54" s="178">
        <f t="shared" si="21"/>
        <v>1942.4786035156249</v>
      </c>
      <c r="H54" s="178">
        <f t="shared" si="21"/>
        <v>6.9492285156250002</v>
      </c>
      <c r="I54" s="178">
        <f t="shared" si="21"/>
        <v>1456.1670898437501</v>
      </c>
      <c r="J54" s="178">
        <f t="shared" si="21"/>
        <v>2080.3925292968752</v>
      </c>
      <c r="K54" s="178">
        <f t="shared" si="21"/>
        <v>180.22646484374999</v>
      </c>
      <c r="L54" s="178">
        <f t="shared" si="21"/>
        <v>500.98374023437498</v>
      </c>
      <c r="M54" s="178">
        <f t="shared" si="21"/>
        <v>16.33041015625</v>
      </c>
      <c r="N54" s="178">
        <f t="shared" si="21"/>
        <v>232.35997070312499</v>
      </c>
      <c r="O54" s="178">
        <f t="shared" si="21"/>
        <v>2.5720312500000002</v>
      </c>
      <c r="P54" s="178">
        <f t="shared" si="15"/>
        <v>7173.7337499999994</v>
      </c>
    </row>
    <row r="55" spans="3:16" x14ac:dyDescent="0.15">
      <c r="C55" s="45" t="s">
        <v>51</v>
      </c>
      <c r="D55" s="178">
        <f t="shared" ref="D55:O55" si="22">D68/1024</f>
        <v>1094.296884765625</v>
      </c>
      <c r="E55" s="178">
        <f t="shared" si="22"/>
        <v>349.97136718750005</v>
      </c>
      <c r="F55" s="178">
        <f t="shared" si="22"/>
        <v>72.337106445312514</v>
      </c>
      <c r="G55" s="178">
        <f t="shared" si="22"/>
        <v>1770.654091796875</v>
      </c>
      <c r="H55" s="178">
        <f t="shared" si="22"/>
        <v>8.9811523437499989</v>
      </c>
      <c r="I55" s="178">
        <f t="shared" si="22"/>
        <v>2132.9461816406251</v>
      </c>
      <c r="J55" s="178">
        <f t="shared" si="22"/>
        <v>3045.8086132812505</v>
      </c>
      <c r="K55" s="178">
        <f t="shared" si="22"/>
        <v>169.87938476562502</v>
      </c>
      <c r="L55" s="178">
        <f t="shared" si="22"/>
        <v>404.45936523437501</v>
      </c>
      <c r="M55" s="178">
        <f t="shared" si="22"/>
        <v>21.51076171875</v>
      </c>
      <c r="N55" s="178">
        <f t="shared" si="22"/>
        <v>207.10779296875</v>
      </c>
      <c r="O55" s="178">
        <f t="shared" si="22"/>
        <v>2.7203515624999999</v>
      </c>
      <c r="P55" s="178">
        <f t="shared" si="15"/>
        <v>9280.6730537109397</v>
      </c>
    </row>
    <row r="56" spans="3:16" x14ac:dyDescent="0.15">
      <c r="C56" s="45" t="s">
        <v>53</v>
      </c>
      <c r="D56" s="178">
        <f t="shared" ref="D56:O58" si="23">D69/1024</f>
        <v>1142.3560986581349</v>
      </c>
      <c r="E56" s="178">
        <f t="shared" si="23"/>
        <v>189.67558521090592</v>
      </c>
      <c r="F56" s="178">
        <f t="shared" si="23"/>
        <v>93.666928523617443</v>
      </c>
      <c r="G56" s="178">
        <f t="shared" si="23"/>
        <v>2071.4167294902027</v>
      </c>
      <c r="H56" s="178">
        <f t="shared" si="23"/>
        <v>16.130874663122043</v>
      </c>
      <c r="I56" s="178">
        <f t="shared" si="23"/>
        <v>1801.2341377453145</v>
      </c>
      <c r="J56" s="178">
        <f t="shared" si="23"/>
        <v>3916.7340831344368</v>
      </c>
      <c r="K56" s="178">
        <f t="shared" si="23"/>
        <v>201.59095327375263</v>
      </c>
      <c r="L56" s="178">
        <f t="shared" si="23"/>
        <v>1191.0308301382825</v>
      </c>
      <c r="M56" s="178">
        <f t="shared" si="23"/>
        <v>20.427300843186408</v>
      </c>
      <c r="N56" s="178">
        <f t="shared" si="23"/>
        <v>300.98538081447828</v>
      </c>
      <c r="O56" s="178">
        <f t="shared" si="23"/>
        <v>1.672547038133412</v>
      </c>
      <c r="P56" s="178">
        <f t="shared" si="15"/>
        <v>10946.921449533569</v>
      </c>
    </row>
    <row r="57" spans="3:16" x14ac:dyDescent="0.15">
      <c r="C57" s="45" t="s">
        <v>87</v>
      </c>
      <c r="D57" s="178">
        <f t="shared" si="23"/>
        <v>1315.178235138271</v>
      </c>
      <c r="E57" s="178">
        <f t="shared" si="23"/>
        <v>625.93828388214115</v>
      </c>
      <c r="F57" s="178">
        <f t="shared" si="23"/>
        <v>143.02083835122664</v>
      </c>
      <c r="G57" s="178">
        <f t="shared" si="23"/>
        <v>4058.9668372702859</v>
      </c>
      <c r="H57" s="178">
        <f t="shared" si="23"/>
        <v>8.8443165346970822</v>
      </c>
      <c r="I57" s="178">
        <f t="shared" si="23"/>
        <v>2501.0258962979528</v>
      </c>
      <c r="J57" s="178">
        <f t="shared" si="23"/>
        <v>2935.5405872167821</v>
      </c>
      <c r="K57" s="178">
        <f t="shared" si="23"/>
        <v>262.98465774811689</v>
      </c>
      <c r="L57" s="178">
        <f t="shared" si="23"/>
        <v>1479.5026629857307</v>
      </c>
      <c r="M57" s="178">
        <f t="shared" si="23"/>
        <v>71.654050646128539</v>
      </c>
      <c r="N57" s="178">
        <f t="shared" si="23"/>
        <v>481.28024073248207</v>
      </c>
      <c r="O57" s="178">
        <f t="shared" si="23"/>
        <v>2.8853466487826123</v>
      </c>
      <c r="P57" s="178">
        <f>SUM(D57:O57)</f>
        <v>13886.821953452594</v>
      </c>
    </row>
    <row r="58" spans="3:16" x14ac:dyDescent="0.15">
      <c r="C58" s="45" t="s">
        <v>124</v>
      </c>
      <c r="D58" s="178">
        <f t="shared" si="23"/>
        <v>2378.330091915208</v>
      </c>
      <c r="E58" s="178">
        <f t="shared" si="23"/>
        <v>1418.5444757995174</v>
      </c>
      <c r="F58" s="178">
        <f t="shared" si="23"/>
        <v>151.56757468700411</v>
      </c>
      <c r="G58" s="178">
        <f t="shared" si="23"/>
        <v>5627.2969162931304</v>
      </c>
      <c r="H58" s="178">
        <f t="shared" si="23"/>
        <v>20.591103977747451</v>
      </c>
      <c r="I58" s="178">
        <f t="shared" si="23"/>
        <v>4255.6231546384679</v>
      </c>
      <c r="J58" s="178">
        <f t="shared" si="23"/>
        <v>2161.3215733560392</v>
      </c>
      <c r="K58" s="178">
        <f t="shared" si="23"/>
        <v>383.64800415002031</v>
      </c>
      <c r="L58" s="178">
        <f t="shared" si="23"/>
        <v>1388.5250310475176</v>
      </c>
      <c r="M58" s="178">
        <f t="shared" si="23"/>
        <v>169.07318274293493</v>
      </c>
      <c r="N58" s="178">
        <f t="shared" si="23"/>
        <v>547.693270146636</v>
      </c>
      <c r="O58" s="178">
        <f t="shared" si="23"/>
        <v>5.9447709620208062</v>
      </c>
      <c r="P58" s="178">
        <f>SUM(D58:O58)</f>
        <v>18508.159149716244</v>
      </c>
    </row>
    <row r="59" spans="3:16" x14ac:dyDescent="0.15">
      <c r="C59" s="59" t="s">
        <v>42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</row>
    <row r="60" spans="3:16" x14ac:dyDescent="0.15">
      <c r="C60" t="s">
        <v>55</v>
      </c>
      <c r="D60" s="173" t="s">
        <v>7</v>
      </c>
      <c r="E60" s="173" t="s">
        <v>8</v>
      </c>
      <c r="F60" s="173" t="s">
        <v>9</v>
      </c>
      <c r="G60" s="173" t="s">
        <v>10</v>
      </c>
      <c r="H60" s="173" t="s">
        <v>11</v>
      </c>
      <c r="I60" s="174" t="s">
        <v>19</v>
      </c>
      <c r="J60" s="174" t="s">
        <v>12</v>
      </c>
      <c r="K60" s="174" t="s">
        <v>13</v>
      </c>
      <c r="L60" s="174" t="s">
        <v>24</v>
      </c>
      <c r="M60" s="174" t="s">
        <v>14</v>
      </c>
      <c r="N60" s="174" t="s">
        <v>17</v>
      </c>
      <c r="O60" s="174" t="s">
        <v>15</v>
      </c>
      <c r="P60" s="175" t="s">
        <v>16</v>
      </c>
    </row>
    <row r="61" spans="3:16" x14ac:dyDescent="0.15">
      <c r="C61" s="45" t="s">
        <v>67</v>
      </c>
      <c r="D61" s="178"/>
      <c r="E61" s="178"/>
      <c r="F61" s="178"/>
      <c r="G61" s="179">
        <v>74636.73828125</v>
      </c>
      <c r="H61" s="178"/>
      <c r="I61" s="179">
        <v>6806.2060546875</v>
      </c>
      <c r="J61" s="179">
        <v>583302.8837890625</v>
      </c>
      <c r="K61" s="179">
        <v>15643.6005859375</v>
      </c>
      <c r="L61" s="178"/>
      <c r="M61" s="178"/>
      <c r="N61" s="178"/>
      <c r="O61" s="178"/>
      <c r="P61" s="178">
        <f t="shared" ref="P61:P69" si="24">SUM(D61:O61)</f>
        <v>680389.4287109375</v>
      </c>
    </row>
    <row r="62" spans="3:16" x14ac:dyDescent="0.15">
      <c r="C62" s="45" t="s">
        <v>45</v>
      </c>
      <c r="D62" s="178">
        <v>171148.77</v>
      </c>
      <c r="E62" s="178">
        <v>16898.89</v>
      </c>
      <c r="F62" s="178"/>
      <c r="G62" s="178">
        <v>310065.69</v>
      </c>
      <c r="H62" s="178">
        <v>12367.14</v>
      </c>
      <c r="I62" s="178">
        <v>458873.96</v>
      </c>
      <c r="J62" s="178">
        <v>833477.8</v>
      </c>
      <c r="K62" s="178">
        <v>83268.550000000017</v>
      </c>
      <c r="L62" s="178">
        <v>62504.770000000004</v>
      </c>
      <c r="M62" s="178">
        <v>753.92</v>
      </c>
      <c r="N62" s="178">
        <v>63665.45</v>
      </c>
      <c r="O62" s="178">
        <v>65.97</v>
      </c>
      <c r="P62" s="178">
        <f t="shared" si="24"/>
        <v>2013090.91</v>
      </c>
    </row>
    <row r="63" spans="3:16" x14ac:dyDescent="0.15">
      <c r="C63" s="45" t="s">
        <v>46</v>
      </c>
      <c r="D63" s="178">
        <v>192427.3913025303</v>
      </c>
      <c r="E63" s="178">
        <v>42989.774121336581</v>
      </c>
      <c r="F63" s="178">
        <v>9421.9062580885056</v>
      </c>
      <c r="G63" s="178">
        <v>499015.44078253623</v>
      </c>
      <c r="H63" s="178">
        <v>8834.6617666799339</v>
      </c>
      <c r="I63" s="178">
        <v>551869.80289949325</v>
      </c>
      <c r="J63" s="178">
        <v>887549.95605001319</v>
      </c>
      <c r="K63" s="178">
        <v>122876.41170906341</v>
      </c>
      <c r="L63" s="180">
        <v>75730.31</v>
      </c>
      <c r="M63" s="178">
        <v>2927.6699196174704</v>
      </c>
      <c r="N63" s="178">
        <v>93544.986292993577</v>
      </c>
      <c r="O63" s="178">
        <v>323.89450921863283</v>
      </c>
      <c r="P63" s="178">
        <f t="shared" si="24"/>
        <v>2487512.2056115712</v>
      </c>
    </row>
    <row r="64" spans="3:16" x14ac:dyDescent="0.15">
      <c r="C64" s="45" t="s">
        <v>47</v>
      </c>
      <c r="D64" s="178">
        <v>238294.72999999998</v>
      </c>
      <c r="E64" s="178">
        <v>2727.3999999999996</v>
      </c>
      <c r="F64" s="178">
        <v>17850.21</v>
      </c>
      <c r="G64" s="178">
        <v>715443.44</v>
      </c>
      <c r="H64" s="178">
        <v>12707.89</v>
      </c>
      <c r="I64" s="178">
        <v>975570.19000000006</v>
      </c>
      <c r="J64" s="178">
        <v>1318277.6599999999</v>
      </c>
      <c r="K64" s="178">
        <v>143534.18</v>
      </c>
      <c r="L64" s="178">
        <v>178018.71</v>
      </c>
      <c r="M64" s="178">
        <v>5111.87</v>
      </c>
      <c r="N64" s="178">
        <v>107439.34999999998</v>
      </c>
      <c r="O64" s="178">
        <v>1463.7700000000002</v>
      </c>
      <c r="P64" s="178">
        <f t="shared" si="24"/>
        <v>3716439.4</v>
      </c>
    </row>
    <row r="65" spans="3:16" x14ac:dyDescent="0.15">
      <c r="C65" s="45" t="s">
        <v>48</v>
      </c>
      <c r="D65" s="178">
        <v>200204.25000000003</v>
      </c>
      <c r="E65" s="178">
        <v>105580.99</v>
      </c>
      <c r="F65" s="178">
        <v>36618.109999999993</v>
      </c>
      <c r="G65" s="178">
        <v>1067471.5699999998</v>
      </c>
      <c r="H65" s="178">
        <v>6081.7700000000013</v>
      </c>
      <c r="I65" s="178">
        <v>1206831.54</v>
      </c>
      <c r="J65" s="178">
        <v>1616274.2099999997</v>
      </c>
      <c r="K65" s="178">
        <v>189578.94999999998</v>
      </c>
      <c r="L65" s="178">
        <v>289769.22000000003</v>
      </c>
      <c r="M65" s="178">
        <v>7334.31</v>
      </c>
      <c r="N65" s="178">
        <v>114517.53</v>
      </c>
      <c r="O65" s="178">
        <v>2954.0599999999995</v>
      </c>
      <c r="P65" s="178">
        <f t="shared" si="24"/>
        <v>4843216.5099999988</v>
      </c>
    </row>
    <row r="66" spans="3:16" x14ac:dyDescent="0.15">
      <c r="C66" s="45" t="s">
        <v>49</v>
      </c>
      <c r="D66" s="178">
        <v>659387.61999999988</v>
      </c>
      <c r="E66" s="178">
        <v>192695.36000000002</v>
      </c>
      <c r="F66" s="178">
        <v>38416.523000000001</v>
      </c>
      <c r="G66" s="178">
        <v>1359528.78</v>
      </c>
      <c r="H66" s="178">
        <v>7458.3000000000011</v>
      </c>
      <c r="I66" s="178">
        <v>1229687.29</v>
      </c>
      <c r="J66" s="178">
        <v>1320748.1500000001</v>
      </c>
      <c r="K66" s="178">
        <v>172379.47</v>
      </c>
      <c r="L66" s="178">
        <v>379378.05</v>
      </c>
      <c r="M66" s="178">
        <v>10403.590000000002</v>
      </c>
      <c r="N66" s="178">
        <v>165499.18</v>
      </c>
      <c r="O66" s="178">
        <v>1506.21</v>
      </c>
      <c r="P66" s="178">
        <f t="shared" si="24"/>
        <v>5537088.5229999991</v>
      </c>
    </row>
    <row r="67" spans="3:16" x14ac:dyDescent="0.15">
      <c r="C67" s="45" t="s">
        <v>50</v>
      </c>
      <c r="D67" s="178">
        <v>639528.84999999986</v>
      </c>
      <c r="E67" s="178">
        <v>83927.34</v>
      </c>
      <c r="F67" s="178">
        <v>49944.06</v>
      </c>
      <c r="G67" s="178">
        <v>1989098.0899999999</v>
      </c>
      <c r="H67" s="178">
        <v>7116.01</v>
      </c>
      <c r="I67" s="178">
        <v>1491115.1</v>
      </c>
      <c r="J67" s="178">
        <v>2130321.9500000002</v>
      </c>
      <c r="K67" s="178">
        <v>184551.9</v>
      </c>
      <c r="L67" s="178">
        <v>513007.35</v>
      </c>
      <c r="M67" s="178">
        <v>16722.34</v>
      </c>
      <c r="N67" s="178">
        <v>237936.61</v>
      </c>
      <c r="O67" s="178">
        <v>2633.76</v>
      </c>
      <c r="P67" s="178">
        <f t="shared" si="24"/>
        <v>7345903.3599999994</v>
      </c>
    </row>
    <row r="68" spans="3:16" x14ac:dyDescent="0.15">
      <c r="C68" s="45" t="s">
        <v>51</v>
      </c>
      <c r="D68" s="178">
        <v>1120560.01</v>
      </c>
      <c r="E68" s="178">
        <v>358370.68000000005</v>
      </c>
      <c r="F68" s="178">
        <v>74073.197000000015</v>
      </c>
      <c r="G68" s="178">
        <v>1813149.79</v>
      </c>
      <c r="H68" s="178">
        <v>9196.6999999999989</v>
      </c>
      <c r="I68" s="178">
        <v>2184136.89</v>
      </c>
      <c r="J68" s="178">
        <v>3118908.0200000005</v>
      </c>
      <c r="K68" s="178">
        <v>173956.49000000002</v>
      </c>
      <c r="L68" s="178">
        <v>414166.39</v>
      </c>
      <c r="M68" s="178">
        <v>22027.02</v>
      </c>
      <c r="N68" s="178">
        <v>212078.38</v>
      </c>
      <c r="O68" s="178">
        <v>2785.64</v>
      </c>
      <c r="P68" s="178">
        <f t="shared" si="24"/>
        <v>9503409.2070000023</v>
      </c>
    </row>
    <row r="69" spans="3:16" x14ac:dyDescent="0.15">
      <c r="C69" s="45" t="s">
        <v>53</v>
      </c>
      <c r="D69" s="178">
        <v>1169772.6450259301</v>
      </c>
      <c r="E69" s="178">
        <v>194227.79925596766</v>
      </c>
      <c r="F69" s="178">
        <v>95914.934808184262</v>
      </c>
      <c r="G69" s="178">
        <v>2121130.7309979675</v>
      </c>
      <c r="H69" s="178">
        <v>16518.015655036972</v>
      </c>
      <c r="I69" s="178">
        <v>1844463.757051202</v>
      </c>
      <c r="J69" s="178">
        <v>4010735.7011296633</v>
      </c>
      <c r="K69" s="178">
        <v>206429.1361523227</v>
      </c>
      <c r="L69" s="178">
        <v>1219615.5700616012</v>
      </c>
      <c r="M69" s="178">
        <v>20917.556063422882</v>
      </c>
      <c r="N69" s="178">
        <v>308209.02995402575</v>
      </c>
      <c r="O69" s="178">
        <v>1712.6881670486139</v>
      </c>
      <c r="P69" s="178">
        <f t="shared" si="24"/>
        <v>11209647.564322375</v>
      </c>
    </row>
    <row r="70" spans="3:16" x14ac:dyDescent="0.15">
      <c r="C70" s="45" t="s">
        <v>87</v>
      </c>
      <c r="D70" s="178">
        <v>1346742.5127815895</v>
      </c>
      <c r="E70" s="178">
        <v>640960.80269531254</v>
      </c>
      <c r="F70" s="178">
        <v>146453.33847165608</v>
      </c>
      <c r="G70" s="178">
        <v>4156382.0413647727</v>
      </c>
      <c r="H70" s="178">
        <v>9056.5801315298122</v>
      </c>
      <c r="I70" s="178">
        <v>2561050.5178091037</v>
      </c>
      <c r="J70" s="178">
        <v>3005993.5613099849</v>
      </c>
      <c r="K70" s="178">
        <v>269296.28953407169</v>
      </c>
      <c r="L70" s="178">
        <v>1515010.7268973882</v>
      </c>
      <c r="M70" s="178">
        <v>73373.747861635624</v>
      </c>
      <c r="N70" s="178">
        <v>492830.96651006164</v>
      </c>
      <c r="O70" s="178">
        <v>2954.594968353395</v>
      </c>
      <c r="P70" s="178">
        <f>SUM(D70:O70)</f>
        <v>14220105.680335457</v>
      </c>
    </row>
    <row r="71" spans="3:16" x14ac:dyDescent="0.15">
      <c r="C71" s="45" t="s">
        <v>124</v>
      </c>
      <c r="D71" s="178">
        <v>2435410.0141211729</v>
      </c>
      <c r="E71" s="178">
        <v>1452589.5432187058</v>
      </c>
      <c r="F71" s="178">
        <v>155205.19647949221</v>
      </c>
      <c r="G71" s="178">
        <v>5762352.0422841655</v>
      </c>
      <c r="H71" s="178">
        <v>21085.29047321339</v>
      </c>
      <c r="I71" s="178">
        <v>4357758.1103497911</v>
      </c>
      <c r="J71" s="178">
        <v>2213193.2911165841</v>
      </c>
      <c r="K71" s="178">
        <v>392855.5562496208</v>
      </c>
      <c r="L71" s="178">
        <v>1421849.631792658</v>
      </c>
      <c r="M71" s="178">
        <v>173130.93912876537</v>
      </c>
      <c r="N71" s="178">
        <v>560837.90863015526</v>
      </c>
      <c r="O71" s="178">
        <v>6087.4454651093056</v>
      </c>
      <c r="P71" s="178">
        <f>SUM(D71:O71)</f>
        <v>18952354.969309434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AK247"/>
  <sheetViews>
    <sheetView zoomScale="90" zoomScaleNormal="90" workbookViewId="0">
      <selection activeCell="N3" sqref="N3"/>
    </sheetView>
  </sheetViews>
  <sheetFormatPr baseColWidth="10" defaultColWidth="8.83203125" defaultRowHeight="13" x14ac:dyDescent="0.15"/>
  <cols>
    <col min="1" max="1" width="8.83203125" style="15"/>
    <col min="2" max="2" width="12.6640625" style="15" customWidth="1"/>
    <col min="3" max="3" width="12.1640625" style="15" customWidth="1"/>
    <col min="4" max="4" width="11.5" style="15" customWidth="1"/>
    <col min="5" max="5" width="10" style="15" customWidth="1"/>
    <col min="6" max="6" width="10.83203125" style="15" customWidth="1"/>
    <col min="7" max="7" width="11.1640625" style="15" customWidth="1"/>
    <col min="8" max="8" width="11.83203125" style="15" customWidth="1"/>
    <col min="9" max="9" width="10.1640625" style="15" customWidth="1"/>
    <col min="10" max="10" width="11.5" style="15" customWidth="1"/>
    <col min="11" max="12" width="11" style="15" customWidth="1"/>
    <col min="13" max="13" width="10.5" style="15" customWidth="1"/>
    <col min="14" max="14" width="11.5" style="15" customWidth="1"/>
    <col min="15" max="16" width="8.83203125" style="15"/>
    <col min="17" max="17" width="10.33203125" style="15" customWidth="1"/>
    <col min="18" max="18" width="9.83203125" style="15" customWidth="1"/>
    <col min="19" max="19" width="10.5" style="15" customWidth="1"/>
    <col min="20" max="20" width="11.5" style="15" customWidth="1"/>
    <col min="21" max="21" width="10.6640625" style="15" customWidth="1"/>
    <col min="22" max="22" width="10.83203125" style="15" customWidth="1"/>
    <col min="23" max="23" width="12.6640625" style="15" customWidth="1"/>
    <col min="24" max="24" width="9.83203125" style="15" customWidth="1"/>
    <col min="25" max="25" width="10.1640625" style="15" customWidth="1"/>
    <col min="26" max="26" width="8.83203125" style="15"/>
    <col min="27" max="27" width="11.33203125" style="15" customWidth="1"/>
    <col min="28" max="28" width="10.33203125" style="15" customWidth="1"/>
    <col min="29" max="29" width="12.33203125" style="15" customWidth="1"/>
    <col min="30" max="257" width="8.83203125" style="15"/>
    <col min="258" max="258" width="14.5" style="15" customWidth="1"/>
    <col min="259" max="259" width="16.5" style="15" customWidth="1"/>
    <col min="260" max="260" width="14.5" style="15" customWidth="1"/>
    <col min="261" max="263" width="8.83203125" style="15"/>
    <col min="264" max="264" width="10.33203125" style="15" bestFit="1" customWidth="1"/>
    <col min="265" max="265" width="10.1640625" style="15" customWidth="1"/>
    <col min="266" max="266" width="11.5" style="15" customWidth="1"/>
    <col min="267" max="267" width="11" style="15" customWidth="1"/>
    <col min="268" max="268" width="6.33203125" style="15" customWidth="1"/>
    <col min="269" max="269" width="11.33203125" style="15" customWidth="1"/>
    <col min="270" max="270" width="14.6640625" style="15" bestFit="1" customWidth="1"/>
    <col min="271" max="513" width="8.83203125" style="15"/>
    <col min="514" max="514" width="14.5" style="15" customWidth="1"/>
    <col min="515" max="515" width="16.5" style="15" customWidth="1"/>
    <col min="516" max="516" width="14.5" style="15" customWidth="1"/>
    <col min="517" max="519" width="8.83203125" style="15"/>
    <col min="520" max="520" width="10.33203125" style="15" bestFit="1" customWidth="1"/>
    <col min="521" max="521" width="10.1640625" style="15" customWidth="1"/>
    <col min="522" max="522" width="11.5" style="15" customWidth="1"/>
    <col min="523" max="523" width="11" style="15" customWidth="1"/>
    <col min="524" max="524" width="6.33203125" style="15" customWidth="1"/>
    <col min="525" max="525" width="11.33203125" style="15" customWidth="1"/>
    <col min="526" max="526" width="14.6640625" style="15" bestFit="1" customWidth="1"/>
    <col min="527" max="769" width="8.83203125" style="15"/>
    <col min="770" max="770" width="14.5" style="15" customWidth="1"/>
    <col min="771" max="771" width="16.5" style="15" customWidth="1"/>
    <col min="772" max="772" width="14.5" style="15" customWidth="1"/>
    <col min="773" max="775" width="8.83203125" style="15"/>
    <col min="776" max="776" width="10.33203125" style="15" bestFit="1" customWidth="1"/>
    <col min="777" max="777" width="10.1640625" style="15" customWidth="1"/>
    <col min="778" max="778" width="11.5" style="15" customWidth="1"/>
    <col min="779" max="779" width="11" style="15" customWidth="1"/>
    <col min="780" max="780" width="6.33203125" style="15" customWidth="1"/>
    <col min="781" max="781" width="11.33203125" style="15" customWidth="1"/>
    <col min="782" max="782" width="14.6640625" style="15" bestFit="1" customWidth="1"/>
    <col min="783" max="1025" width="8.83203125" style="15"/>
    <col min="1026" max="1026" width="14.5" style="15" customWidth="1"/>
    <col min="1027" max="1027" width="16.5" style="15" customWidth="1"/>
    <col min="1028" max="1028" width="14.5" style="15" customWidth="1"/>
    <col min="1029" max="1031" width="8.83203125" style="15"/>
    <col min="1032" max="1032" width="10.33203125" style="15" bestFit="1" customWidth="1"/>
    <col min="1033" max="1033" width="10.1640625" style="15" customWidth="1"/>
    <col min="1034" max="1034" width="11.5" style="15" customWidth="1"/>
    <col min="1035" max="1035" width="11" style="15" customWidth="1"/>
    <col min="1036" max="1036" width="6.33203125" style="15" customWidth="1"/>
    <col min="1037" max="1037" width="11.33203125" style="15" customWidth="1"/>
    <col min="1038" max="1038" width="14.6640625" style="15" bestFit="1" customWidth="1"/>
    <col min="1039" max="1281" width="8.83203125" style="15"/>
    <col min="1282" max="1282" width="14.5" style="15" customWidth="1"/>
    <col min="1283" max="1283" width="16.5" style="15" customWidth="1"/>
    <col min="1284" max="1284" width="14.5" style="15" customWidth="1"/>
    <col min="1285" max="1287" width="8.83203125" style="15"/>
    <col min="1288" max="1288" width="10.33203125" style="15" bestFit="1" customWidth="1"/>
    <col min="1289" max="1289" width="10.1640625" style="15" customWidth="1"/>
    <col min="1290" max="1290" width="11.5" style="15" customWidth="1"/>
    <col min="1291" max="1291" width="11" style="15" customWidth="1"/>
    <col min="1292" max="1292" width="6.33203125" style="15" customWidth="1"/>
    <col min="1293" max="1293" width="11.33203125" style="15" customWidth="1"/>
    <col min="1294" max="1294" width="14.6640625" style="15" bestFit="1" customWidth="1"/>
    <col min="1295" max="1537" width="8.83203125" style="15"/>
    <col min="1538" max="1538" width="14.5" style="15" customWidth="1"/>
    <col min="1539" max="1539" width="16.5" style="15" customWidth="1"/>
    <col min="1540" max="1540" width="14.5" style="15" customWidth="1"/>
    <col min="1541" max="1543" width="8.83203125" style="15"/>
    <col min="1544" max="1544" width="10.33203125" style="15" bestFit="1" customWidth="1"/>
    <col min="1545" max="1545" width="10.1640625" style="15" customWidth="1"/>
    <col min="1546" max="1546" width="11.5" style="15" customWidth="1"/>
    <col min="1547" max="1547" width="11" style="15" customWidth="1"/>
    <col min="1548" max="1548" width="6.33203125" style="15" customWidth="1"/>
    <col min="1549" max="1549" width="11.33203125" style="15" customWidth="1"/>
    <col min="1550" max="1550" width="14.6640625" style="15" bestFit="1" customWidth="1"/>
    <col min="1551" max="1793" width="8.83203125" style="15"/>
    <col min="1794" max="1794" width="14.5" style="15" customWidth="1"/>
    <col min="1795" max="1795" width="16.5" style="15" customWidth="1"/>
    <col min="1796" max="1796" width="14.5" style="15" customWidth="1"/>
    <col min="1797" max="1799" width="8.83203125" style="15"/>
    <col min="1800" max="1800" width="10.33203125" style="15" bestFit="1" customWidth="1"/>
    <col min="1801" max="1801" width="10.1640625" style="15" customWidth="1"/>
    <col min="1802" max="1802" width="11.5" style="15" customWidth="1"/>
    <col min="1803" max="1803" width="11" style="15" customWidth="1"/>
    <col min="1804" max="1804" width="6.33203125" style="15" customWidth="1"/>
    <col min="1805" max="1805" width="11.33203125" style="15" customWidth="1"/>
    <col min="1806" max="1806" width="14.6640625" style="15" bestFit="1" customWidth="1"/>
    <col min="1807" max="2049" width="8.83203125" style="15"/>
    <col min="2050" max="2050" width="14.5" style="15" customWidth="1"/>
    <col min="2051" max="2051" width="16.5" style="15" customWidth="1"/>
    <col min="2052" max="2052" width="14.5" style="15" customWidth="1"/>
    <col min="2053" max="2055" width="8.83203125" style="15"/>
    <col min="2056" max="2056" width="10.33203125" style="15" bestFit="1" customWidth="1"/>
    <col min="2057" max="2057" width="10.1640625" style="15" customWidth="1"/>
    <col min="2058" max="2058" width="11.5" style="15" customWidth="1"/>
    <col min="2059" max="2059" width="11" style="15" customWidth="1"/>
    <col min="2060" max="2060" width="6.33203125" style="15" customWidth="1"/>
    <col min="2061" max="2061" width="11.33203125" style="15" customWidth="1"/>
    <col min="2062" max="2062" width="14.6640625" style="15" bestFit="1" customWidth="1"/>
    <col min="2063" max="2305" width="8.83203125" style="15"/>
    <col min="2306" max="2306" width="14.5" style="15" customWidth="1"/>
    <col min="2307" max="2307" width="16.5" style="15" customWidth="1"/>
    <col min="2308" max="2308" width="14.5" style="15" customWidth="1"/>
    <col min="2309" max="2311" width="8.83203125" style="15"/>
    <col min="2312" max="2312" width="10.33203125" style="15" bestFit="1" customWidth="1"/>
    <col min="2313" max="2313" width="10.1640625" style="15" customWidth="1"/>
    <col min="2314" max="2314" width="11.5" style="15" customWidth="1"/>
    <col min="2315" max="2315" width="11" style="15" customWidth="1"/>
    <col min="2316" max="2316" width="6.33203125" style="15" customWidth="1"/>
    <col min="2317" max="2317" width="11.33203125" style="15" customWidth="1"/>
    <col min="2318" max="2318" width="14.6640625" style="15" bestFit="1" customWidth="1"/>
    <col min="2319" max="2561" width="8.83203125" style="15"/>
    <col min="2562" max="2562" width="14.5" style="15" customWidth="1"/>
    <col min="2563" max="2563" width="16.5" style="15" customWidth="1"/>
    <col min="2564" max="2564" width="14.5" style="15" customWidth="1"/>
    <col min="2565" max="2567" width="8.83203125" style="15"/>
    <col min="2568" max="2568" width="10.33203125" style="15" bestFit="1" customWidth="1"/>
    <col min="2569" max="2569" width="10.1640625" style="15" customWidth="1"/>
    <col min="2570" max="2570" width="11.5" style="15" customWidth="1"/>
    <col min="2571" max="2571" width="11" style="15" customWidth="1"/>
    <col min="2572" max="2572" width="6.33203125" style="15" customWidth="1"/>
    <col min="2573" max="2573" width="11.33203125" style="15" customWidth="1"/>
    <col min="2574" max="2574" width="14.6640625" style="15" bestFit="1" customWidth="1"/>
    <col min="2575" max="2817" width="8.83203125" style="15"/>
    <col min="2818" max="2818" width="14.5" style="15" customWidth="1"/>
    <col min="2819" max="2819" width="16.5" style="15" customWidth="1"/>
    <col min="2820" max="2820" width="14.5" style="15" customWidth="1"/>
    <col min="2821" max="2823" width="8.83203125" style="15"/>
    <col min="2824" max="2824" width="10.33203125" style="15" bestFit="1" customWidth="1"/>
    <col min="2825" max="2825" width="10.1640625" style="15" customWidth="1"/>
    <col min="2826" max="2826" width="11.5" style="15" customWidth="1"/>
    <col min="2827" max="2827" width="11" style="15" customWidth="1"/>
    <col min="2828" max="2828" width="6.33203125" style="15" customWidth="1"/>
    <col min="2829" max="2829" width="11.33203125" style="15" customWidth="1"/>
    <col min="2830" max="2830" width="14.6640625" style="15" bestFit="1" customWidth="1"/>
    <col min="2831" max="3073" width="8.83203125" style="15"/>
    <col min="3074" max="3074" width="14.5" style="15" customWidth="1"/>
    <col min="3075" max="3075" width="16.5" style="15" customWidth="1"/>
    <col min="3076" max="3076" width="14.5" style="15" customWidth="1"/>
    <col min="3077" max="3079" width="8.83203125" style="15"/>
    <col min="3080" max="3080" width="10.33203125" style="15" bestFit="1" customWidth="1"/>
    <col min="3081" max="3081" width="10.1640625" style="15" customWidth="1"/>
    <col min="3082" max="3082" width="11.5" style="15" customWidth="1"/>
    <col min="3083" max="3083" width="11" style="15" customWidth="1"/>
    <col min="3084" max="3084" width="6.33203125" style="15" customWidth="1"/>
    <col min="3085" max="3085" width="11.33203125" style="15" customWidth="1"/>
    <col min="3086" max="3086" width="14.6640625" style="15" bestFit="1" customWidth="1"/>
    <col min="3087" max="3329" width="8.83203125" style="15"/>
    <col min="3330" max="3330" width="14.5" style="15" customWidth="1"/>
    <col min="3331" max="3331" width="16.5" style="15" customWidth="1"/>
    <col min="3332" max="3332" width="14.5" style="15" customWidth="1"/>
    <col min="3333" max="3335" width="8.83203125" style="15"/>
    <col min="3336" max="3336" width="10.33203125" style="15" bestFit="1" customWidth="1"/>
    <col min="3337" max="3337" width="10.1640625" style="15" customWidth="1"/>
    <col min="3338" max="3338" width="11.5" style="15" customWidth="1"/>
    <col min="3339" max="3339" width="11" style="15" customWidth="1"/>
    <col min="3340" max="3340" width="6.33203125" style="15" customWidth="1"/>
    <col min="3341" max="3341" width="11.33203125" style="15" customWidth="1"/>
    <col min="3342" max="3342" width="14.6640625" style="15" bestFit="1" customWidth="1"/>
    <col min="3343" max="3585" width="8.83203125" style="15"/>
    <col min="3586" max="3586" width="14.5" style="15" customWidth="1"/>
    <col min="3587" max="3587" width="16.5" style="15" customWidth="1"/>
    <col min="3588" max="3588" width="14.5" style="15" customWidth="1"/>
    <col min="3589" max="3591" width="8.83203125" style="15"/>
    <col min="3592" max="3592" width="10.33203125" style="15" bestFit="1" customWidth="1"/>
    <col min="3593" max="3593" width="10.1640625" style="15" customWidth="1"/>
    <col min="3594" max="3594" width="11.5" style="15" customWidth="1"/>
    <col min="3595" max="3595" width="11" style="15" customWidth="1"/>
    <col min="3596" max="3596" width="6.33203125" style="15" customWidth="1"/>
    <col min="3597" max="3597" width="11.33203125" style="15" customWidth="1"/>
    <col min="3598" max="3598" width="14.6640625" style="15" bestFit="1" customWidth="1"/>
    <col min="3599" max="3841" width="8.83203125" style="15"/>
    <col min="3842" max="3842" width="14.5" style="15" customWidth="1"/>
    <col min="3843" max="3843" width="16.5" style="15" customWidth="1"/>
    <col min="3844" max="3844" width="14.5" style="15" customWidth="1"/>
    <col min="3845" max="3847" width="8.83203125" style="15"/>
    <col min="3848" max="3848" width="10.33203125" style="15" bestFit="1" customWidth="1"/>
    <col min="3849" max="3849" width="10.1640625" style="15" customWidth="1"/>
    <col min="3850" max="3850" width="11.5" style="15" customWidth="1"/>
    <col min="3851" max="3851" width="11" style="15" customWidth="1"/>
    <col min="3852" max="3852" width="6.33203125" style="15" customWidth="1"/>
    <col min="3853" max="3853" width="11.33203125" style="15" customWidth="1"/>
    <col min="3854" max="3854" width="14.6640625" style="15" bestFit="1" customWidth="1"/>
    <col min="3855" max="4097" width="8.83203125" style="15"/>
    <col min="4098" max="4098" width="14.5" style="15" customWidth="1"/>
    <col min="4099" max="4099" width="16.5" style="15" customWidth="1"/>
    <col min="4100" max="4100" width="14.5" style="15" customWidth="1"/>
    <col min="4101" max="4103" width="8.83203125" style="15"/>
    <col min="4104" max="4104" width="10.33203125" style="15" bestFit="1" customWidth="1"/>
    <col min="4105" max="4105" width="10.1640625" style="15" customWidth="1"/>
    <col min="4106" max="4106" width="11.5" style="15" customWidth="1"/>
    <col min="4107" max="4107" width="11" style="15" customWidth="1"/>
    <col min="4108" max="4108" width="6.33203125" style="15" customWidth="1"/>
    <col min="4109" max="4109" width="11.33203125" style="15" customWidth="1"/>
    <col min="4110" max="4110" width="14.6640625" style="15" bestFit="1" customWidth="1"/>
    <col min="4111" max="4353" width="8.83203125" style="15"/>
    <col min="4354" max="4354" width="14.5" style="15" customWidth="1"/>
    <col min="4355" max="4355" width="16.5" style="15" customWidth="1"/>
    <col min="4356" max="4356" width="14.5" style="15" customWidth="1"/>
    <col min="4357" max="4359" width="8.83203125" style="15"/>
    <col min="4360" max="4360" width="10.33203125" style="15" bestFit="1" customWidth="1"/>
    <col min="4361" max="4361" width="10.1640625" style="15" customWidth="1"/>
    <col min="4362" max="4362" width="11.5" style="15" customWidth="1"/>
    <col min="4363" max="4363" width="11" style="15" customWidth="1"/>
    <col min="4364" max="4364" width="6.33203125" style="15" customWidth="1"/>
    <col min="4365" max="4365" width="11.33203125" style="15" customWidth="1"/>
    <col min="4366" max="4366" width="14.6640625" style="15" bestFit="1" customWidth="1"/>
    <col min="4367" max="4609" width="8.83203125" style="15"/>
    <col min="4610" max="4610" width="14.5" style="15" customWidth="1"/>
    <col min="4611" max="4611" width="16.5" style="15" customWidth="1"/>
    <col min="4612" max="4612" width="14.5" style="15" customWidth="1"/>
    <col min="4613" max="4615" width="8.83203125" style="15"/>
    <col min="4616" max="4616" width="10.33203125" style="15" bestFit="1" customWidth="1"/>
    <col min="4617" max="4617" width="10.1640625" style="15" customWidth="1"/>
    <col min="4618" max="4618" width="11.5" style="15" customWidth="1"/>
    <col min="4619" max="4619" width="11" style="15" customWidth="1"/>
    <col min="4620" max="4620" width="6.33203125" style="15" customWidth="1"/>
    <col min="4621" max="4621" width="11.33203125" style="15" customWidth="1"/>
    <col min="4622" max="4622" width="14.6640625" style="15" bestFit="1" customWidth="1"/>
    <col min="4623" max="4865" width="8.83203125" style="15"/>
    <col min="4866" max="4866" width="14.5" style="15" customWidth="1"/>
    <col min="4867" max="4867" width="16.5" style="15" customWidth="1"/>
    <col min="4868" max="4868" width="14.5" style="15" customWidth="1"/>
    <col min="4869" max="4871" width="8.83203125" style="15"/>
    <col min="4872" max="4872" width="10.33203125" style="15" bestFit="1" customWidth="1"/>
    <col min="4873" max="4873" width="10.1640625" style="15" customWidth="1"/>
    <col min="4874" max="4874" width="11.5" style="15" customWidth="1"/>
    <col min="4875" max="4875" width="11" style="15" customWidth="1"/>
    <col min="4876" max="4876" width="6.33203125" style="15" customWidth="1"/>
    <col min="4877" max="4877" width="11.33203125" style="15" customWidth="1"/>
    <col min="4878" max="4878" width="14.6640625" style="15" bestFit="1" customWidth="1"/>
    <col min="4879" max="5121" width="8.83203125" style="15"/>
    <col min="5122" max="5122" width="14.5" style="15" customWidth="1"/>
    <col min="5123" max="5123" width="16.5" style="15" customWidth="1"/>
    <col min="5124" max="5124" width="14.5" style="15" customWidth="1"/>
    <col min="5125" max="5127" width="8.83203125" style="15"/>
    <col min="5128" max="5128" width="10.33203125" style="15" bestFit="1" customWidth="1"/>
    <col min="5129" max="5129" width="10.1640625" style="15" customWidth="1"/>
    <col min="5130" max="5130" width="11.5" style="15" customWidth="1"/>
    <col min="5131" max="5131" width="11" style="15" customWidth="1"/>
    <col min="5132" max="5132" width="6.33203125" style="15" customWidth="1"/>
    <col min="5133" max="5133" width="11.33203125" style="15" customWidth="1"/>
    <col min="5134" max="5134" width="14.6640625" style="15" bestFit="1" customWidth="1"/>
    <col min="5135" max="5377" width="8.83203125" style="15"/>
    <col min="5378" max="5378" width="14.5" style="15" customWidth="1"/>
    <col min="5379" max="5379" width="16.5" style="15" customWidth="1"/>
    <col min="5380" max="5380" width="14.5" style="15" customWidth="1"/>
    <col min="5381" max="5383" width="8.83203125" style="15"/>
    <col min="5384" max="5384" width="10.33203125" style="15" bestFit="1" customWidth="1"/>
    <col min="5385" max="5385" width="10.1640625" style="15" customWidth="1"/>
    <col min="5386" max="5386" width="11.5" style="15" customWidth="1"/>
    <col min="5387" max="5387" width="11" style="15" customWidth="1"/>
    <col min="5388" max="5388" width="6.33203125" style="15" customWidth="1"/>
    <col min="5389" max="5389" width="11.33203125" style="15" customWidth="1"/>
    <col min="5390" max="5390" width="14.6640625" style="15" bestFit="1" customWidth="1"/>
    <col min="5391" max="5633" width="8.83203125" style="15"/>
    <col min="5634" max="5634" width="14.5" style="15" customWidth="1"/>
    <col min="5635" max="5635" width="16.5" style="15" customWidth="1"/>
    <col min="5636" max="5636" width="14.5" style="15" customWidth="1"/>
    <col min="5637" max="5639" width="8.83203125" style="15"/>
    <col min="5640" max="5640" width="10.33203125" style="15" bestFit="1" customWidth="1"/>
    <col min="5641" max="5641" width="10.1640625" style="15" customWidth="1"/>
    <col min="5642" max="5642" width="11.5" style="15" customWidth="1"/>
    <col min="5643" max="5643" width="11" style="15" customWidth="1"/>
    <col min="5644" max="5644" width="6.33203125" style="15" customWidth="1"/>
    <col min="5645" max="5645" width="11.33203125" style="15" customWidth="1"/>
    <col min="5646" max="5646" width="14.6640625" style="15" bestFit="1" customWidth="1"/>
    <col min="5647" max="5889" width="8.83203125" style="15"/>
    <col min="5890" max="5890" width="14.5" style="15" customWidth="1"/>
    <col min="5891" max="5891" width="16.5" style="15" customWidth="1"/>
    <col min="5892" max="5892" width="14.5" style="15" customWidth="1"/>
    <col min="5893" max="5895" width="8.83203125" style="15"/>
    <col min="5896" max="5896" width="10.33203125" style="15" bestFit="1" customWidth="1"/>
    <col min="5897" max="5897" width="10.1640625" style="15" customWidth="1"/>
    <col min="5898" max="5898" width="11.5" style="15" customWidth="1"/>
    <col min="5899" max="5899" width="11" style="15" customWidth="1"/>
    <col min="5900" max="5900" width="6.33203125" style="15" customWidth="1"/>
    <col min="5901" max="5901" width="11.33203125" style="15" customWidth="1"/>
    <col min="5902" max="5902" width="14.6640625" style="15" bestFit="1" customWidth="1"/>
    <col min="5903" max="6145" width="8.83203125" style="15"/>
    <col min="6146" max="6146" width="14.5" style="15" customWidth="1"/>
    <col min="6147" max="6147" width="16.5" style="15" customWidth="1"/>
    <col min="6148" max="6148" width="14.5" style="15" customWidth="1"/>
    <col min="6149" max="6151" width="8.83203125" style="15"/>
    <col min="6152" max="6152" width="10.33203125" style="15" bestFit="1" customWidth="1"/>
    <col min="6153" max="6153" width="10.1640625" style="15" customWidth="1"/>
    <col min="6154" max="6154" width="11.5" style="15" customWidth="1"/>
    <col min="6155" max="6155" width="11" style="15" customWidth="1"/>
    <col min="6156" max="6156" width="6.33203125" style="15" customWidth="1"/>
    <col min="6157" max="6157" width="11.33203125" style="15" customWidth="1"/>
    <col min="6158" max="6158" width="14.6640625" style="15" bestFit="1" customWidth="1"/>
    <col min="6159" max="6401" width="8.83203125" style="15"/>
    <col min="6402" max="6402" width="14.5" style="15" customWidth="1"/>
    <col min="6403" max="6403" width="16.5" style="15" customWidth="1"/>
    <col min="6404" max="6404" width="14.5" style="15" customWidth="1"/>
    <col min="6405" max="6407" width="8.83203125" style="15"/>
    <col min="6408" max="6408" width="10.33203125" style="15" bestFit="1" customWidth="1"/>
    <col min="6409" max="6409" width="10.1640625" style="15" customWidth="1"/>
    <col min="6410" max="6410" width="11.5" style="15" customWidth="1"/>
    <col min="6411" max="6411" width="11" style="15" customWidth="1"/>
    <col min="6412" max="6412" width="6.33203125" style="15" customWidth="1"/>
    <col min="6413" max="6413" width="11.33203125" style="15" customWidth="1"/>
    <col min="6414" max="6414" width="14.6640625" style="15" bestFit="1" customWidth="1"/>
    <col min="6415" max="6657" width="8.83203125" style="15"/>
    <col min="6658" max="6658" width="14.5" style="15" customWidth="1"/>
    <col min="6659" max="6659" width="16.5" style="15" customWidth="1"/>
    <col min="6660" max="6660" width="14.5" style="15" customWidth="1"/>
    <col min="6661" max="6663" width="8.83203125" style="15"/>
    <col min="6664" max="6664" width="10.33203125" style="15" bestFit="1" customWidth="1"/>
    <col min="6665" max="6665" width="10.1640625" style="15" customWidth="1"/>
    <col min="6666" max="6666" width="11.5" style="15" customWidth="1"/>
    <col min="6667" max="6667" width="11" style="15" customWidth="1"/>
    <col min="6668" max="6668" width="6.33203125" style="15" customWidth="1"/>
    <col min="6669" max="6669" width="11.33203125" style="15" customWidth="1"/>
    <col min="6670" max="6670" width="14.6640625" style="15" bestFit="1" customWidth="1"/>
    <col min="6671" max="6913" width="8.83203125" style="15"/>
    <col min="6914" max="6914" width="14.5" style="15" customWidth="1"/>
    <col min="6915" max="6915" width="16.5" style="15" customWidth="1"/>
    <col min="6916" max="6916" width="14.5" style="15" customWidth="1"/>
    <col min="6917" max="6919" width="8.83203125" style="15"/>
    <col min="6920" max="6920" width="10.33203125" style="15" bestFit="1" customWidth="1"/>
    <col min="6921" max="6921" width="10.1640625" style="15" customWidth="1"/>
    <col min="6922" max="6922" width="11.5" style="15" customWidth="1"/>
    <col min="6923" max="6923" width="11" style="15" customWidth="1"/>
    <col min="6924" max="6924" width="6.33203125" style="15" customWidth="1"/>
    <col min="6925" max="6925" width="11.33203125" style="15" customWidth="1"/>
    <col min="6926" max="6926" width="14.6640625" style="15" bestFit="1" customWidth="1"/>
    <col min="6927" max="7169" width="8.83203125" style="15"/>
    <col min="7170" max="7170" width="14.5" style="15" customWidth="1"/>
    <col min="7171" max="7171" width="16.5" style="15" customWidth="1"/>
    <col min="7172" max="7172" width="14.5" style="15" customWidth="1"/>
    <col min="7173" max="7175" width="8.83203125" style="15"/>
    <col min="7176" max="7176" width="10.33203125" style="15" bestFit="1" customWidth="1"/>
    <col min="7177" max="7177" width="10.1640625" style="15" customWidth="1"/>
    <col min="7178" max="7178" width="11.5" style="15" customWidth="1"/>
    <col min="7179" max="7179" width="11" style="15" customWidth="1"/>
    <col min="7180" max="7180" width="6.33203125" style="15" customWidth="1"/>
    <col min="7181" max="7181" width="11.33203125" style="15" customWidth="1"/>
    <col min="7182" max="7182" width="14.6640625" style="15" bestFit="1" customWidth="1"/>
    <col min="7183" max="7425" width="8.83203125" style="15"/>
    <col min="7426" max="7426" width="14.5" style="15" customWidth="1"/>
    <col min="7427" max="7427" width="16.5" style="15" customWidth="1"/>
    <col min="7428" max="7428" width="14.5" style="15" customWidth="1"/>
    <col min="7429" max="7431" width="8.83203125" style="15"/>
    <col min="7432" max="7432" width="10.33203125" style="15" bestFit="1" customWidth="1"/>
    <col min="7433" max="7433" width="10.1640625" style="15" customWidth="1"/>
    <col min="7434" max="7434" width="11.5" style="15" customWidth="1"/>
    <col min="7435" max="7435" width="11" style="15" customWidth="1"/>
    <col min="7436" max="7436" width="6.33203125" style="15" customWidth="1"/>
    <col min="7437" max="7437" width="11.33203125" style="15" customWidth="1"/>
    <col min="7438" max="7438" width="14.6640625" style="15" bestFit="1" customWidth="1"/>
    <col min="7439" max="7681" width="8.83203125" style="15"/>
    <col min="7682" max="7682" width="14.5" style="15" customWidth="1"/>
    <col min="7683" max="7683" width="16.5" style="15" customWidth="1"/>
    <col min="7684" max="7684" width="14.5" style="15" customWidth="1"/>
    <col min="7685" max="7687" width="8.83203125" style="15"/>
    <col min="7688" max="7688" width="10.33203125" style="15" bestFit="1" customWidth="1"/>
    <col min="7689" max="7689" width="10.1640625" style="15" customWidth="1"/>
    <col min="7690" max="7690" width="11.5" style="15" customWidth="1"/>
    <col min="7691" max="7691" width="11" style="15" customWidth="1"/>
    <col min="7692" max="7692" width="6.33203125" style="15" customWidth="1"/>
    <col min="7693" max="7693" width="11.33203125" style="15" customWidth="1"/>
    <col min="7694" max="7694" width="14.6640625" style="15" bestFit="1" customWidth="1"/>
    <col min="7695" max="7937" width="8.83203125" style="15"/>
    <col min="7938" max="7938" width="14.5" style="15" customWidth="1"/>
    <col min="7939" max="7939" width="16.5" style="15" customWidth="1"/>
    <col min="7940" max="7940" width="14.5" style="15" customWidth="1"/>
    <col min="7941" max="7943" width="8.83203125" style="15"/>
    <col min="7944" max="7944" width="10.33203125" style="15" bestFit="1" customWidth="1"/>
    <col min="7945" max="7945" width="10.1640625" style="15" customWidth="1"/>
    <col min="7946" max="7946" width="11.5" style="15" customWidth="1"/>
    <col min="7947" max="7947" width="11" style="15" customWidth="1"/>
    <col min="7948" max="7948" width="6.33203125" style="15" customWidth="1"/>
    <col min="7949" max="7949" width="11.33203125" style="15" customWidth="1"/>
    <col min="7950" max="7950" width="14.6640625" style="15" bestFit="1" customWidth="1"/>
    <col min="7951" max="8193" width="8.83203125" style="15"/>
    <col min="8194" max="8194" width="14.5" style="15" customWidth="1"/>
    <col min="8195" max="8195" width="16.5" style="15" customWidth="1"/>
    <col min="8196" max="8196" width="14.5" style="15" customWidth="1"/>
    <col min="8197" max="8199" width="8.83203125" style="15"/>
    <col min="8200" max="8200" width="10.33203125" style="15" bestFit="1" customWidth="1"/>
    <col min="8201" max="8201" width="10.1640625" style="15" customWidth="1"/>
    <col min="8202" max="8202" width="11.5" style="15" customWidth="1"/>
    <col min="8203" max="8203" width="11" style="15" customWidth="1"/>
    <col min="8204" max="8204" width="6.33203125" style="15" customWidth="1"/>
    <col min="8205" max="8205" width="11.33203125" style="15" customWidth="1"/>
    <col min="8206" max="8206" width="14.6640625" style="15" bestFit="1" customWidth="1"/>
    <col min="8207" max="8449" width="8.83203125" style="15"/>
    <col min="8450" max="8450" width="14.5" style="15" customWidth="1"/>
    <col min="8451" max="8451" width="16.5" style="15" customWidth="1"/>
    <col min="8452" max="8452" width="14.5" style="15" customWidth="1"/>
    <col min="8453" max="8455" width="8.83203125" style="15"/>
    <col min="8456" max="8456" width="10.33203125" style="15" bestFit="1" customWidth="1"/>
    <col min="8457" max="8457" width="10.1640625" style="15" customWidth="1"/>
    <col min="8458" max="8458" width="11.5" style="15" customWidth="1"/>
    <col min="8459" max="8459" width="11" style="15" customWidth="1"/>
    <col min="8460" max="8460" width="6.33203125" style="15" customWidth="1"/>
    <col min="8461" max="8461" width="11.33203125" style="15" customWidth="1"/>
    <col min="8462" max="8462" width="14.6640625" style="15" bestFit="1" customWidth="1"/>
    <col min="8463" max="8705" width="8.83203125" style="15"/>
    <col min="8706" max="8706" width="14.5" style="15" customWidth="1"/>
    <col min="8707" max="8707" width="16.5" style="15" customWidth="1"/>
    <col min="8708" max="8708" width="14.5" style="15" customWidth="1"/>
    <col min="8709" max="8711" width="8.83203125" style="15"/>
    <col min="8712" max="8712" width="10.33203125" style="15" bestFit="1" customWidth="1"/>
    <col min="8713" max="8713" width="10.1640625" style="15" customWidth="1"/>
    <col min="8714" max="8714" width="11.5" style="15" customWidth="1"/>
    <col min="8715" max="8715" width="11" style="15" customWidth="1"/>
    <col min="8716" max="8716" width="6.33203125" style="15" customWidth="1"/>
    <col min="8717" max="8717" width="11.33203125" style="15" customWidth="1"/>
    <col min="8718" max="8718" width="14.6640625" style="15" bestFit="1" customWidth="1"/>
    <col min="8719" max="8961" width="8.83203125" style="15"/>
    <col min="8962" max="8962" width="14.5" style="15" customWidth="1"/>
    <col min="8963" max="8963" width="16.5" style="15" customWidth="1"/>
    <col min="8964" max="8964" width="14.5" style="15" customWidth="1"/>
    <col min="8965" max="8967" width="8.83203125" style="15"/>
    <col min="8968" max="8968" width="10.33203125" style="15" bestFit="1" customWidth="1"/>
    <col min="8969" max="8969" width="10.1640625" style="15" customWidth="1"/>
    <col min="8970" max="8970" width="11.5" style="15" customWidth="1"/>
    <col min="8971" max="8971" width="11" style="15" customWidth="1"/>
    <col min="8972" max="8972" width="6.33203125" style="15" customWidth="1"/>
    <col min="8973" max="8973" width="11.33203125" style="15" customWidth="1"/>
    <col min="8974" max="8974" width="14.6640625" style="15" bestFit="1" customWidth="1"/>
    <col min="8975" max="9217" width="8.83203125" style="15"/>
    <col min="9218" max="9218" width="14.5" style="15" customWidth="1"/>
    <col min="9219" max="9219" width="16.5" style="15" customWidth="1"/>
    <col min="9220" max="9220" width="14.5" style="15" customWidth="1"/>
    <col min="9221" max="9223" width="8.83203125" style="15"/>
    <col min="9224" max="9224" width="10.33203125" style="15" bestFit="1" customWidth="1"/>
    <col min="9225" max="9225" width="10.1640625" style="15" customWidth="1"/>
    <col min="9226" max="9226" width="11.5" style="15" customWidth="1"/>
    <col min="9227" max="9227" width="11" style="15" customWidth="1"/>
    <col min="9228" max="9228" width="6.33203125" style="15" customWidth="1"/>
    <col min="9229" max="9229" width="11.33203125" style="15" customWidth="1"/>
    <col min="9230" max="9230" width="14.6640625" style="15" bestFit="1" customWidth="1"/>
    <col min="9231" max="9473" width="8.83203125" style="15"/>
    <col min="9474" max="9474" width="14.5" style="15" customWidth="1"/>
    <col min="9475" max="9475" width="16.5" style="15" customWidth="1"/>
    <col min="9476" max="9476" width="14.5" style="15" customWidth="1"/>
    <col min="9477" max="9479" width="8.83203125" style="15"/>
    <col min="9480" max="9480" width="10.33203125" style="15" bestFit="1" customWidth="1"/>
    <col min="9481" max="9481" width="10.1640625" style="15" customWidth="1"/>
    <col min="9482" max="9482" width="11.5" style="15" customWidth="1"/>
    <col min="9483" max="9483" width="11" style="15" customWidth="1"/>
    <col min="9484" max="9484" width="6.33203125" style="15" customWidth="1"/>
    <col min="9485" max="9485" width="11.33203125" style="15" customWidth="1"/>
    <col min="9486" max="9486" width="14.6640625" style="15" bestFit="1" customWidth="1"/>
    <col min="9487" max="9729" width="8.83203125" style="15"/>
    <col min="9730" max="9730" width="14.5" style="15" customWidth="1"/>
    <col min="9731" max="9731" width="16.5" style="15" customWidth="1"/>
    <col min="9732" max="9732" width="14.5" style="15" customWidth="1"/>
    <col min="9733" max="9735" width="8.83203125" style="15"/>
    <col min="9736" max="9736" width="10.33203125" style="15" bestFit="1" customWidth="1"/>
    <col min="9737" max="9737" width="10.1640625" style="15" customWidth="1"/>
    <col min="9738" max="9738" width="11.5" style="15" customWidth="1"/>
    <col min="9739" max="9739" width="11" style="15" customWidth="1"/>
    <col min="9740" max="9740" width="6.33203125" style="15" customWidth="1"/>
    <col min="9741" max="9741" width="11.33203125" style="15" customWidth="1"/>
    <col min="9742" max="9742" width="14.6640625" style="15" bestFit="1" customWidth="1"/>
    <col min="9743" max="9985" width="8.83203125" style="15"/>
    <col min="9986" max="9986" width="14.5" style="15" customWidth="1"/>
    <col min="9987" max="9987" width="16.5" style="15" customWidth="1"/>
    <col min="9988" max="9988" width="14.5" style="15" customWidth="1"/>
    <col min="9989" max="9991" width="8.83203125" style="15"/>
    <col min="9992" max="9992" width="10.33203125" style="15" bestFit="1" customWidth="1"/>
    <col min="9993" max="9993" width="10.1640625" style="15" customWidth="1"/>
    <col min="9994" max="9994" width="11.5" style="15" customWidth="1"/>
    <col min="9995" max="9995" width="11" style="15" customWidth="1"/>
    <col min="9996" max="9996" width="6.33203125" style="15" customWidth="1"/>
    <col min="9997" max="9997" width="11.33203125" style="15" customWidth="1"/>
    <col min="9998" max="9998" width="14.6640625" style="15" bestFit="1" customWidth="1"/>
    <col min="9999" max="10241" width="8.83203125" style="15"/>
    <col min="10242" max="10242" width="14.5" style="15" customWidth="1"/>
    <col min="10243" max="10243" width="16.5" style="15" customWidth="1"/>
    <col min="10244" max="10244" width="14.5" style="15" customWidth="1"/>
    <col min="10245" max="10247" width="8.83203125" style="15"/>
    <col min="10248" max="10248" width="10.33203125" style="15" bestFit="1" customWidth="1"/>
    <col min="10249" max="10249" width="10.1640625" style="15" customWidth="1"/>
    <col min="10250" max="10250" width="11.5" style="15" customWidth="1"/>
    <col min="10251" max="10251" width="11" style="15" customWidth="1"/>
    <col min="10252" max="10252" width="6.33203125" style="15" customWidth="1"/>
    <col min="10253" max="10253" width="11.33203125" style="15" customWidth="1"/>
    <col min="10254" max="10254" width="14.6640625" style="15" bestFit="1" customWidth="1"/>
    <col min="10255" max="10497" width="8.83203125" style="15"/>
    <col min="10498" max="10498" width="14.5" style="15" customWidth="1"/>
    <col min="10499" max="10499" width="16.5" style="15" customWidth="1"/>
    <col min="10500" max="10500" width="14.5" style="15" customWidth="1"/>
    <col min="10501" max="10503" width="8.83203125" style="15"/>
    <col min="10504" max="10504" width="10.33203125" style="15" bestFit="1" customWidth="1"/>
    <col min="10505" max="10505" width="10.1640625" style="15" customWidth="1"/>
    <col min="10506" max="10506" width="11.5" style="15" customWidth="1"/>
    <col min="10507" max="10507" width="11" style="15" customWidth="1"/>
    <col min="10508" max="10508" width="6.33203125" style="15" customWidth="1"/>
    <col min="10509" max="10509" width="11.33203125" style="15" customWidth="1"/>
    <col min="10510" max="10510" width="14.6640625" style="15" bestFit="1" customWidth="1"/>
    <col min="10511" max="10753" width="8.83203125" style="15"/>
    <col min="10754" max="10754" width="14.5" style="15" customWidth="1"/>
    <col min="10755" max="10755" width="16.5" style="15" customWidth="1"/>
    <col min="10756" max="10756" width="14.5" style="15" customWidth="1"/>
    <col min="10757" max="10759" width="8.83203125" style="15"/>
    <col min="10760" max="10760" width="10.33203125" style="15" bestFit="1" customWidth="1"/>
    <col min="10761" max="10761" width="10.1640625" style="15" customWidth="1"/>
    <col min="10762" max="10762" width="11.5" style="15" customWidth="1"/>
    <col min="10763" max="10763" width="11" style="15" customWidth="1"/>
    <col min="10764" max="10764" width="6.33203125" style="15" customWidth="1"/>
    <col min="10765" max="10765" width="11.33203125" style="15" customWidth="1"/>
    <col min="10766" max="10766" width="14.6640625" style="15" bestFit="1" customWidth="1"/>
    <col min="10767" max="11009" width="8.83203125" style="15"/>
    <col min="11010" max="11010" width="14.5" style="15" customWidth="1"/>
    <col min="11011" max="11011" width="16.5" style="15" customWidth="1"/>
    <col min="11012" max="11012" width="14.5" style="15" customWidth="1"/>
    <col min="11013" max="11015" width="8.83203125" style="15"/>
    <col min="11016" max="11016" width="10.33203125" style="15" bestFit="1" customWidth="1"/>
    <col min="11017" max="11017" width="10.1640625" style="15" customWidth="1"/>
    <col min="11018" max="11018" width="11.5" style="15" customWidth="1"/>
    <col min="11019" max="11019" width="11" style="15" customWidth="1"/>
    <col min="11020" max="11020" width="6.33203125" style="15" customWidth="1"/>
    <col min="11021" max="11021" width="11.33203125" style="15" customWidth="1"/>
    <col min="11022" max="11022" width="14.6640625" style="15" bestFit="1" customWidth="1"/>
    <col min="11023" max="11265" width="8.83203125" style="15"/>
    <col min="11266" max="11266" width="14.5" style="15" customWidth="1"/>
    <col min="11267" max="11267" width="16.5" style="15" customWidth="1"/>
    <col min="11268" max="11268" width="14.5" style="15" customWidth="1"/>
    <col min="11269" max="11271" width="8.83203125" style="15"/>
    <col min="11272" max="11272" width="10.33203125" style="15" bestFit="1" customWidth="1"/>
    <col min="11273" max="11273" width="10.1640625" style="15" customWidth="1"/>
    <col min="11274" max="11274" width="11.5" style="15" customWidth="1"/>
    <col min="11275" max="11275" width="11" style="15" customWidth="1"/>
    <col min="11276" max="11276" width="6.33203125" style="15" customWidth="1"/>
    <col min="11277" max="11277" width="11.33203125" style="15" customWidth="1"/>
    <col min="11278" max="11278" width="14.6640625" style="15" bestFit="1" customWidth="1"/>
    <col min="11279" max="11521" width="8.83203125" style="15"/>
    <col min="11522" max="11522" width="14.5" style="15" customWidth="1"/>
    <col min="11523" max="11523" width="16.5" style="15" customWidth="1"/>
    <col min="11524" max="11524" width="14.5" style="15" customWidth="1"/>
    <col min="11525" max="11527" width="8.83203125" style="15"/>
    <col min="11528" max="11528" width="10.33203125" style="15" bestFit="1" customWidth="1"/>
    <col min="11529" max="11529" width="10.1640625" style="15" customWidth="1"/>
    <col min="11530" max="11530" width="11.5" style="15" customWidth="1"/>
    <col min="11531" max="11531" width="11" style="15" customWidth="1"/>
    <col min="11532" max="11532" width="6.33203125" style="15" customWidth="1"/>
    <col min="11533" max="11533" width="11.33203125" style="15" customWidth="1"/>
    <col min="11534" max="11534" width="14.6640625" style="15" bestFit="1" customWidth="1"/>
    <col min="11535" max="11777" width="8.83203125" style="15"/>
    <col min="11778" max="11778" width="14.5" style="15" customWidth="1"/>
    <col min="11779" max="11779" width="16.5" style="15" customWidth="1"/>
    <col min="11780" max="11780" width="14.5" style="15" customWidth="1"/>
    <col min="11781" max="11783" width="8.83203125" style="15"/>
    <col min="11784" max="11784" width="10.33203125" style="15" bestFit="1" customWidth="1"/>
    <col min="11785" max="11785" width="10.1640625" style="15" customWidth="1"/>
    <col min="11786" max="11786" width="11.5" style="15" customWidth="1"/>
    <col min="11787" max="11787" width="11" style="15" customWidth="1"/>
    <col min="11788" max="11788" width="6.33203125" style="15" customWidth="1"/>
    <col min="11789" max="11789" width="11.33203125" style="15" customWidth="1"/>
    <col min="11790" max="11790" width="14.6640625" style="15" bestFit="1" customWidth="1"/>
    <col min="11791" max="12033" width="8.83203125" style="15"/>
    <col min="12034" max="12034" width="14.5" style="15" customWidth="1"/>
    <col min="12035" max="12035" width="16.5" style="15" customWidth="1"/>
    <col min="12036" max="12036" width="14.5" style="15" customWidth="1"/>
    <col min="12037" max="12039" width="8.83203125" style="15"/>
    <col min="12040" max="12040" width="10.33203125" style="15" bestFit="1" customWidth="1"/>
    <col min="12041" max="12041" width="10.1640625" style="15" customWidth="1"/>
    <col min="12042" max="12042" width="11.5" style="15" customWidth="1"/>
    <col min="12043" max="12043" width="11" style="15" customWidth="1"/>
    <col min="12044" max="12044" width="6.33203125" style="15" customWidth="1"/>
    <col min="12045" max="12045" width="11.33203125" style="15" customWidth="1"/>
    <col min="12046" max="12046" width="14.6640625" style="15" bestFit="1" customWidth="1"/>
    <col min="12047" max="12289" width="8.83203125" style="15"/>
    <col min="12290" max="12290" width="14.5" style="15" customWidth="1"/>
    <col min="12291" max="12291" width="16.5" style="15" customWidth="1"/>
    <col min="12292" max="12292" width="14.5" style="15" customWidth="1"/>
    <col min="12293" max="12295" width="8.83203125" style="15"/>
    <col min="12296" max="12296" width="10.33203125" style="15" bestFit="1" customWidth="1"/>
    <col min="12297" max="12297" width="10.1640625" style="15" customWidth="1"/>
    <col min="12298" max="12298" width="11.5" style="15" customWidth="1"/>
    <col min="12299" max="12299" width="11" style="15" customWidth="1"/>
    <col min="12300" max="12300" width="6.33203125" style="15" customWidth="1"/>
    <col min="12301" max="12301" width="11.33203125" style="15" customWidth="1"/>
    <col min="12302" max="12302" width="14.6640625" style="15" bestFit="1" customWidth="1"/>
    <col min="12303" max="12545" width="8.83203125" style="15"/>
    <col min="12546" max="12546" width="14.5" style="15" customWidth="1"/>
    <col min="12547" max="12547" width="16.5" style="15" customWidth="1"/>
    <col min="12548" max="12548" width="14.5" style="15" customWidth="1"/>
    <col min="12549" max="12551" width="8.83203125" style="15"/>
    <col min="12552" max="12552" width="10.33203125" style="15" bestFit="1" customWidth="1"/>
    <col min="12553" max="12553" width="10.1640625" style="15" customWidth="1"/>
    <col min="12554" max="12554" width="11.5" style="15" customWidth="1"/>
    <col min="12555" max="12555" width="11" style="15" customWidth="1"/>
    <col min="12556" max="12556" width="6.33203125" style="15" customWidth="1"/>
    <col min="12557" max="12557" width="11.33203125" style="15" customWidth="1"/>
    <col min="12558" max="12558" width="14.6640625" style="15" bestFit="1" customWidth="1"/>
    <col min="12559" max="12801" width="8.83203125" style="15"/>
    <col min="12802" max="12802" width="14.5" style="15" customWidth="1"/>
    <col min="12803" max="12803" width="16.5" style="15" customWidth="1"/>
    <col min="12804" max="12804" width="14.5" style="15" customWidth="1"/>
    <col min="12805" max="12807" width="8.83203125" style="15"/>
    <col min="12808" max="12808" width="10.33203125" style="15" bestFit="1" customWidth="1"/>
    <col min="12809" max="12809" width="10.1640625" style="15" customWidth="1"/>
    <col min="12810" max="12810" width="11.5" style="15" customWidth="1"/>
    <col min="12811" max="12811" width="11" style="15" customWidth="1"/>
    <col min="12812" max="12812" width="6.33203125" style="15" customWidth="1"/>
    <col min="12813" max="12813" width="11.33203125" style="15" customWidth="1"/>
    <col min="12814" max="12814" width="14.6640625" style="15" bestFit="1" customWidth="1"/>
    <col min="12815" max="13057" width="8.83203125" style="15"/>
    <col min="13058" max="13058" width="14.5" style="15" customWidth="1"/>
    <col min="13059" max="13059" width="16.5" style="15" customWidth="1"/>
    <col min="13060" max="13060" width="14.5" style="15" customWidth="1"/>
    <col min="13061" max="13063" width="8.83203125" style="15"/>
    <col min="13064" max="13064" width="10.33203125" style="15" bestFit="1" customWidth="1"/>
    <col min="13065" max="13065" width="10.1640625" style="15" customWidth="1"/>
    <col min="13066" max="13066" width="11.5" style="15" customWidth="1"/>
    <col min="13067" max="13067" width="11" style="15" customWidth="1"/>
    <col min="13068" max="13068" width="6.33203125" style="15" customWidth="1"/>
    <col min="13069" max="13069" width="11.33203125" style="15" customWidth="1"/>
    <col min="13070" max="13070" width="14.6640625" style="15" bestFit="1" customWidth="1"/>
    <col min="13071" max="13313" width="8.83203125" style="15"/>
    <col min="13314" max="13314" width="14.5" style="15" customWidth="1"/>
    <col min="13315" max="13315" width="16.5" style="15" customWidth="1"/>
    <col min="13316" max="13316" width="14.5" style="15" customWidth="1"/>
    <col min="13317" max="13319" width="8.83203125" style="15"/>
    <col min="13320" max="13320" width="10.33203125" style="15" bestFit="1" customWidth="1"/>
    <col min="13321" max="13321" width="10.1640625" style="15" customWidth="1"/>
    <col min="13322" max="13322" width="11.5" style="15" customWidth="1"/>
    <col min="13323" max="13323" width="11" style="15" customWidth="1"/>
    <col min="13324" max="13324" width="6.33203125" style="15" customWidth="1"/>
    <col min="13325" max="13325" width="11.33203125" style="15" customWidth="1"/>
    <col min="13326" max="13326" width="14.6640625" style="15" bestFit="1" customWidth="1"/>
    <col min="13327" max="13569" width="8.83203125" style="15"/>
    <col min="13570" max="13570" width="14.5" style="15" customWidth="1"/>
    <col min="13571" max="13571" width="16.5" style="15" customWidth="1"/>
    <col min="13572" max="13572" width="14.5" style="15" customWidth="1"/>
    <col min="13573" max="13575" width="8.83203125" style="15"/>
    <col min="13576" max="13576" width="10.33203125" style="15" bestFit="1" customWidth="1"/>
    <col min="13577" max="13577" width="10.1640625" style="15" customWidth="1"/>
    <col min="13578" max="13578" width="11.5" style="15" customWidth="1"/>
    <col min="13579" max="13579" width="11" style="15" customWidth="1"/>
    <col min="13580" max="13580" width="6.33203125" style="15" customWidth="1"/>
    <col min="13581" max="13581" width="11.33203125" style="15" customWidth="1"/>
    <col min="13582" max="13582" width="14.6640625" style="15" bestFit="1" customWidth="1"/>
    <col min="13583" max="13825" width="8.83203125" style="15"/>
    <col min="13826" max="13826" width="14.5" style="15" customWidth="1"/>
    <col min="13827" max="13827" width="16.5" style="15" customWidth="1"/>
    <col min="13828" max="13828" width="14.5" style="15" customWidth="1"/>
    <col min="13829" max="13831" width="8.83203125" style="15"/>
    <col min="13832" max="13832" width="10.33203125" style="15" bestFit="1" customWidth="1"/>
    <col min="13833" max="13833" width="10.1640625" style="15" customWidth="1"/>
    <col min="13834" max="13834" width="11.5" style="15" customWidth="1"/>
    <col min="13835" max="13835" width="11" style="15" customWidth="1"/>
    <col min="13836" max="13836" width="6.33203125" style="15" customWidth="1"/>
    <col min="13837" max="13837" width="11.33203125" style="15" customWidth="1"/>
    <col min="13838" max="13838" width="14.6640625" style="15" bestFit="1" customWidth="1"/>
    <col min="13839" max="14081" width="8.83203125" style="15"/>
    <col min="14082" max="14082" width="14.5" style="15" customWidth="1"/>
    <col min="14083" max="14083" width="16.5" style="15" customWidth="1"/>
    <col min="14084" max="14084" width="14.5" style="15" customWidth="1"/>
    <col min="14085" max="14087" width="8.83203125" style="15"/>
    <col min="14088" max="14088" width="10.33203125" style="15" bestFit="1" customWidth="1"/>
    <col min="14089" max="14089" width="10.1640625" style="15" customWidth="1"/>
    <col min="14090" max="14090" width="11.5" style="15" customWidth="1"/>
    <col min="14091" max="14091" width="11" style="15" customWidth="1"/>
    <col min="14092" max="14092" width="6.33203125" style="15" customWidth="1"/>
    <col min="14093" max="14093" width="11.33203125" style="15" customWidth="1"/>
    <col min="14094" max="14094" width="14.6640625" style="15" bestFit="1" customWidth="1"/>
    <col min="14095" max="14337" width="8.83203125" style="15"/>
    <col min="14338" max="14338" width="14.5" style="15" customWidth="1"/>
    <col min="14339" max="14339" width="16.5" style="15" customWidth="1"/>
    <col min="14340" max="14340" width="14.5" style="15" customWidth="1"/>
    <col min="14341" max="14343" width="8.83203125" style="15"/>
    <col min="14344" max="14344" width="10.33203125" style="15" bestFit="1" customWidth="1"/>
    <col min="14345" max="14345" width="10.1640625" style="15" customWidth="1"/>
    <col min="14346" max="14346" width="11.5" style="15" customWidth="1"/>
    <col min="14347" max="14347" width="11" style="15" customWidth="1"/>
    <col min="14348" max="14348" width="6.33203125" style="15" customWidth="1"/>
    <col min="14349" max="14349" width="11.33203125" style="15" customWidth="1"/>
    <col min="14350" max="14350" width="14.6640625" style="15" bestFit="1" customWidth="1"/>
    <col min="14351" max="14593" width="8.83203125" style="15"/>
    <col min="14594" max="14594" width="14.5" style="15" customWidth="1"/>
    <col min="14595" max="14595" width="16.5" style="15" customWidth="1"/>
    <col min="14596" max="14596" width="14.5" style="15" customWidth="1"/>
    <col min="14597" max="14599" width="8.83203125" style="15"/>
    <col min="14600" max="14600" width="10.33203125" style="15" bestFit="1" customWidth="1"/>
    <col min="14601" max="14601" width="10.1640625" style="15" customWidth="1"/>
    <col min="14602" max="14602" width="11.5" style="15" customWidth="1"/>
    <col min="14603" max="14603" width="11" style="15" customWidth="1"/>
    <col min="14604" max="14604" width="6.33203125" style="15" customWidth="1"/>
    <col min="14605" max="14605" width="11.33203125" style="15" customWidth="1"/>
    <col min="14606" max="14606" width="14.6640625" style="15" bestFit="1" customWidth="1"/>
    <col min="14607" max="14849" width="8.83203125" style="15"/>
    <col min="14850" max="14850" width="14.5" style="15" customWidth="1"/>
    <col min="14851" max="14851" width="16.5" style="15" customWidth="1"/>
    <col min="14852" max="14852" width="14.5" style="15" customWidth="1"/>
    <col min="14853" max="14855" width="8.83203125" style="15"/>
    <col min="14856" max="14856" width="10.33203125" style="15" bestFit="1" customWidth="1"/>
    <col min="14857" max="14857" width="10.1640625" style="15" customWidth="1"/>
    <col min="14858" max="14858" width="11.5" style="15" customWidth="1"/>
    <col min="14859" max="14859" width="11" style="15" customWidth="1"/>
    <col min="14860" max="14860" width="6.33203125" style="15" customWidth="1"/>
    <col min="14861" max="14861" width="11.33203125" style="15" customWidth="1"/>
    <col min="14862" max="14862" width="14.6640625" style="15" bestFit="1" customWidth="1"/>
    <col min="14863" max="15105" width="8.83203125" style="15"/>
    <col min="15106" max="15106" width="14.5" style="15" customWidth="1"/>
    <col min="15107" max="15107" width="16.5" style="15" customWidth="1"/>
    <col min="15108" max="15108" width="14.5" style="15" customWidth="1"/>
    <col min="15109" max="15111" width="8.83203125" style="15"/>
    <col min="15112" max="15112" width="10.33203125" style="15" bestFit="1" customWidth="1"/>
    <col min="15113" max="15113" width="10.1640625" style="15" customWidth="1"/>
    <col min="15114" max="15114" width="11.5" style="15" customWidth="1"/>
    <col min="15115" max="15115" width="11" style="15" customWidth="1"/>
    <col min="15116" max="15116" width="6.33203125" style="15" customWidth="1"/>
    <col min="15117" max="15117" width="11.33203125" style="15" customWidth="1"/>
    <col min="15118" max="15118" width="14.6640625" style="15" bestFit="1" customWidth="1"/>
    <col min="15119" max="15361" width="8.83203125" style="15"/>
    <col min="15362" max="15362" width="14.5" style="15" customWidth="1"/>
    <col min="15363" max="15363" width="16.5" style="15" customWidth="1"/>
    <col min="15364" max="15364" width="14.5" style="15" customWidth="1"/>
    <col min="15365" max="15367" width="8.83203125" style="15"/>
    <col min="15368" max="15368" width="10.33203125" style="15" bestFit="1" customWidth="1"/>
    <col min="15369" max="15369" width="10.1640625" style="15" customWidth="1"/>
    <col min="15370" max="15370" width="11.5" style="15" customWidth="1"/>
    <col min="15371" max="15371" width="11" style="15" customWidth="1"/>
    <col min="15372" max="15372" width="6.33203125" style="15" customWidth="1"/>
    <col min="15373" max="15373" width="11.33203125" style="15" customWidth="1"/>
    <col min="15374" max="15374" width="14.6640625" style="15" bestFit="1" customWidth="1"/>
    <col min="15375" max="15617" width="8.83203125" style="15"/>
    <col min="15618" max="15618" width="14.5" style="15" customWidth="1"/>
    <col min="15619" max="15619" width="16.5" style="15" customWidth="1"/>
    <col min="15620" max="15620" width="14.5" style="15" customWidth="1"/>
    <col min="15621" max="15623" width="8.83203125" style="15"/>
    <col min="15624" max="15624" width="10.33203125" style="15" bestFit="1" customWidth="1"/>
    <col min="15625" max="15625" width="10.1640625" style="15" customWidth="1"/>
    <col min="15626" max="15626" width="11.5" style="15" customWidth="1"/>
    <col min="15627" max="15627" width="11" style="15" customWidth="1"/>
    <col min="15628" max="15628" width="6.33203125" style="15" customWidth="1"/>
    <col min="15629" max="15629" width="11.33203125" style="15" customWidth="1"/>
    <col min="15630" max="15630" width="14.6640625" style="15" bestFit="1" customWidth="1"/>
    <col min="15631" max="15873" width="8.83203125" style="15"/>
    <col min="15874" max="15874" width="14.5" style="15" customWidth="1"/>
    <col min="15875" max="15875" width="16.5" style="15" customWidth="1"/>
    <col min="15876" max="15876" width="14.5" style="15" customWidth="1"/>
    <col min="15877" max="15879" width="8.83203125" style="15"/>
    <col min="15880" max="15880" width="10.33203125" style="15" bestFit="1" customWidth="1"/>
    <col min="15881" max="15881" width="10.1640625" style="15" customWidth="1"/>
    <col min="15882" max="15882" width="11.5" style="15" customWidth="1"/>
    <col min="15883" max="15883" width="11" style="15" customWidth="1"/>
    <col min="15884" max="15884" width="6.33203125" style="15" customWidth="1"/>
    <col min="15885" max="15885" width="11.33203125" style="15" customWidth="1"/>
    <col min="15886" max="15886" width="14.6640625" style="15" bestFit="1" customWidth="1"/>
    <col min="15887" max="16129" width="8.83203125" style="15"/>
    <col min="16130" max="16130" width="14.5" style="15" customWidth="1"/>
    <col min="16131" max="16131" width="16.5" style="15" customWidth="1"/>
    <col min="16132" max="16132" width="14.5" style="15" customWidth="1"/>
    <col min="16133" max="16135" width="8.83203125" style="15"/>
    <col min="16136" max="16136" width="10.33203125" style="15" bestFit="1" customWidth="1"/>
    <col min="16137" max="16137" width="10.1640625" style="15" customWidth="1"/>
    <col min="16138" max="16138" width="11.5" style="15" customWidth="1"/>
    <col min="16139" max="16139" width="11" style="15" customWidth="1"/>
    <col min="16140" max="16140" width="6.33203125" style="15" customWidth="1"/>
    <col min="16141" max="16141" width="11.33203125" style="15" customWidth="1"/>
    <col min="16142" max="16142" width="14.6640625" style="15" bestFit="1" customWidth="1"/>
    <col min="16143" max="16384" width="8.83203125" style="15"/>
  </cols>
  <sheetData>
    <row r="1" spans="1:29" x14ac:dyDescent="0.15">
      <c r="A1" s="25" t="s">
        <v>83</v>
      </c>
    </row>
    <row r="2" spans="1:29" ht="26" x14ac:dyDescent="0.15">
      <c r="A2" s="1" t="s">
        <v>18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4" t="s">
        <v>19</v>
      </c>
      <c r="H2" s="2" t="s">
        <v>12</v>
      </c>
      <c r="I2" s="4" t="s">
        <v>13</v>
      </c>
      <c r="J2" s="4" t="s">
        <v>24</v>
      </c>
      <c r="K2" s="4" t="s">
        <v>14</v>
      </c>
      <c r="L2" s="4" t="s">
        <v>17</v>
      </c>
      <c r="M2" s="4" t="s">
        <v>15</v>
      </c>
      <c r="N2" s="4" t="s">
        <v>16</v>
      </c>
      <c r="P2" s="1" t="s">
        <v>18</v>
      </c>
      <c r="Q2" s="6" t="s">
        <v>7</v>
      </c>
      <c r="R2" s="6" t="s">
        <v>8</v>
      </c>
      <c r="S2" s="6" t="s">
        <v>9</v>
      </c>
      <c r="T2" s="6" t="s">
        <v>10</v>
      </c>
      <c r="U2" s="6" t="s">
        <v>11</v>
      </c>
      <c r="V2" s="4" t="s">
        <v>19</v>
      </c>
      <c r="W2" s="2" t="s">
        <v>12</v>
      </c>
      <c r="X2" s="4" t="s">
        <v>13</v>
      </c>
      <c r="Y2" s="4" t="s">
        <v>24</v>
      </c>
      <c r="Z2" s="4" t="s">
        <v>14</v>
      </c>
      <c r="AA2" s="4" t="s">
        <v>17</v>
      </c>
      <c r="AB2" s="4" t="s">
        <v>15</v>
      </c>
      <c r="AC2" s="4" t="s">
        <v>16</v>
      </c>
    </row>
    <row r="3" spans="1:29" ht="15.75" customHeight="1" x14ac:dyDescent="0.15">
      <c r="A3" s="181" t="str">
        <f>P3</f>
        <v>2016-10</v>
      </c>
      <c r="B3" s="182">
        <f>Q3/1000000</f>
        <v>1.586641</v>
      </c>
      <c r="C3" s="182">
        <f t="shared" ref="C3:C14" si="0">R3/1000000</f>
        <v>0.58926699999999999</v>
      </c>
      <c r="D3" s="182">
        <f t="shared" ref="D3:D14" si="1">S3/1000000</f>
        <v>30.542735</v>
      </c>
      <c r="E3" s="182">
        <f t="shared" ref="E3:E14" si="2">T3/1000000</f>
        <v>20.687657999999999</v>
      </c>
      <c r="F3" s="182">
        <f t="shared" ref="F3:F14" si="3">U3/1000000</f>
        <v>0.12058000000000001</v>
      </c>
      <c r="G3" s="182">
        <f t="shared" ref="G3:G14" si="4">V3/1000000</f>
        <v>9.6326830000000001</v>
      </c>
      <c r="H3" s="182">
        <f t="shared" ref="H3:H14" si="5">W3/1000000</f>
        <v>10.868460000000001</v>
      </c>
      <c r="I3" s="182">
        <f t="shared" ref="I3:I14" si="6">X3/1000000</f>
        <v>5.4715170000000004</v>
      </c>
      <c r="J3" s="182">
        <f t="shared" ref="J3:J14" si="7">Y3/1000000</f>
        <v>4.2958489999999996</v>
      </c>
      <c r="K3" s="182">
        <f t="shared" ref="K3:K14" si="8">Z3/1000000</f>
        <v>2.4349370000000001</v>
      </c>
      <c r="L3" s="182">
        <f t="shared" ref="L3:L14" si="9">AA3/1000000</f>
        <v>5.6337479999999998</v>
      </c>
      <c r="M3" s="182">
        <f t="shared" ref="M3:M14" si="10">AB3/1000000</f>
        <v>0.53093299999999999</v>
      </c>
      <c r="N3" s="182">
        <f t="shared" ref="N3:N15" si="11">SUM(B3:M3)</f>
        <v>92.395008000000018</v>
      </c>
      <c r="P3" s="4" t="s">
        <v>125</v>
      </c>
      <c r="Q3" s="194">
        <v>1586641</v>
      </c>
      <c r="R3" s="194">
        <v>589267</v>
      </c>
      <c r="S3" s="194">
        <v>30542735</v>
      </c>
      <c r="T3" s="194">
        <v>20687658</v>
      </c>
      <c r="U3" s="194">
        <v>120580</v>
      </c>
      <c r="V3" s="194">
        <v>9632683</v>
      </c>
      <c r="W3" s="194">
        <v>10868460</v>
      </c>
      <c r="X3" s="194">
        <v>5471517</v>
      </c>
      <c r="Y3" s="194">
        <v>4295849</v>
      </c>
      <c r="Z3" s="194">
        <v>2434937</v>
      </c>
      <c r="AA3" s="194">
        <v>5633748</v>
      </c>
      <c r="AB3" s="194">
        <v>530933</v>
      </c>
      <c r="AC3" s="7">
        <f t="shared" ref="AC3:AC14" si="12">SUM(Q3:AB3)</f>
        <v>92395008</v>
      </c>
    </row>
    <row r="4" spans="1:29" x14ac:dyDescent="0.15">
      <c r="A4" s="181" t="str">
        <f t="shared" ref="A4:A14" si="13">P4</f>
        <v>2016-11</v>
      </c>
      <c r="B4" s="182">
        <f t="shared" ref="B4:B14" si="14">Q4/1000000</f>
        <v>1.5481480000000001</v>
      </c>
      <c r="C4" s="182">
        <f t="shared" si="0"/>
        <v>0.69640500000000005</v>
      </c>
      <c r="D4" s="182">
        <f t="shared" si="1"/>
        <v>33.296047999999999</v>
      </c>
      <c r="E4" s="182">
        <f t="shared" si="2"/>
        <v>15.492571</v>
      </c>
      <c r="F4" s="182">
        <f t="shared" si="3"/>
        <v>0.61689000000000005</v>
      </c>
      <c r="G4" s="182">
        <f t="shared" si="4"/>
        <v>13.22578</v>
      </c>
      <c r="H4" s="182">
        <f t="shared" si="5"/>
        <v>12.495632000000001</v>
      </c>
      <c r="I4" s="182">
        <f t="shared" si="6"/>
        <v>6.3709730000000002</v>
      </c>
      <c r="J4" s="182">
        <f t="shared" si="7"/>
        <v>4.2394509999999999</v>
      </c>
      <c r="K4" s="182">
        <f t="shared" si="8"/>
        <v>1.071313</v>
      </c>
      <c r="L4" s="182">
        <f t="shared" si="9"/>
        <v>7.786403</v>
      </c>
      <c r="M4" s="182">
        <f t="shared" si="10"/>
        <v>0.578731</v>
      </c>
      <c r="N4" s="182">
        <f t="shared" si="11"/>
        <v>97.418345000000016</v>
      </c>
      <c r="P4" s="4" t="s">
        <v>126</v>
      </c>
      <c r="Q4" s="194">
        <v>1548148</v>
      </c>
      <c r="R4" s="194">
        <v>696405</v>
      </c>
      <c r="S4" s="194">
        <v>33296048</v>
      </c>
      <c r="T4" s="194">
        <v>15492571</v>
      </c>
      <c r="U4" s="194">
        <v>616890</v>
      </c>
      <c r="V4" s="194">
        <v>13225780</v>
      </c>
      <c r="W4" s="194">
        <v>12495632</v>
      </c>
      <c r="X4" s="194">
        <v>6370973</v>
      </c>
      <c r="Y4" s="194">
        <v>4239451</v>
      </c>
      <c r="Z4" s="194">
        <v>1071313</v>
      </c>
      <c r="AA4" s="194">
        <v>7786403</v>
      </c>
      <c r="AB4" s="194">
        <v>578731</v>
      </c>
      <c r="AC4" s="7">
        <f t="shared" si="12"/>
        <v>97418345</v>
      </c>
    </row>
    <row r="5" spans="1:29" x14ac:dyDescent="0.15">
      <c r="A5" s="181" t="str">
        <f t="shared" si="13"/>
        <v>2016-12</v>
      </c>
      <c r="B5" s="182">
        <f t="shared" si="14"/>
        <v>1.8583780000000001</v>
      </c>
      <c r="C5" s="182">
        <f t="shared" si="0"/>
        <v>0.48786400000000002</v>
      </c>
      <c r="D5" s="182">
        <f t="shared" si="1"/>
        <v>30.415030999999999</v>
      </c>
      <c r="E5" s="182">
        <f t="shared" si="2"/>
        <v>21.598662999999998</v>
      </c>
      <c r="F5" s="182">
        <f t="shared" si="3"/>
        <v>3.9051000000000002E-2</v>
      </c>
      <c r="G5" s="182">
        <f t="shared" si="4"/>
        <v>11.450485</v>
      </c>
      <c r="H5" s="182">
        <f t="shared" si="5"/>
        <v>10.724902999999999</v>
      </c>
      <c r="I5" s="182">
        <f t="shared" si="6"/>
        <v>5.5111559999999997</v>
      </c>
      <c r="J5" s="182">
        <f t="shared" si="7"/>
        <v>3.7710219999999999</v>
      </c>
      <c r="K5" s="182">
        <f t="shared" si="8"/>
        <v>2.577855</v>
      </c>
      <c r="L5" s="182">
        <f t="shared" si="9"/>
        <v>8.6926000000000005</v>
      </c>
      <c r="M5" s="182">
        <f t="shared" si="10"/>
        <v>0.47092299999999998</v>
      </c>
      <c r="N5" s="182">
        <f t="shared" si="11"/>
        <v>97.597931000000003</v>
      </c>
      <c r="P5" s="4" t="s">
        <v>127</v>
      </c>
      <c r="Q5" s="194">
        <v>1858378</v>
      </c>
      <c r="R5" s="194">
        <v>487864</v>
      </c>
      <c r="S5" s="194">
        <v>30415031</v>
      </c>
      <c r="T5" s="194">
        <v>21598663</v>
      </c>
      <c r="U5" s="194">
        <v>39051</v>
      </c>
      <c r="V5" s="194">
        <v>11450485</v>
      </c>
      <c r="W5" s="194">
        <v>10724903</v>
      </c>
      <c r="X5" s="194">
        <v>5511156</v>
      </c>
      <c r="Y5" s="194">
        <v>3771022</v>
      </c>
      <c r="Z5" s="194">
        <v>2577855</v>
      </c>
      <c r="AA5" s="194">
        <v>8692600</v>
      </c>
      <c r="AB5" s="194">
        <v>470923</v>
      </c>
      <c r="AC5" s="7">
        <f t="shared" si="12"/>
        <v>97597931</v>
      </c>
    </row>
    <row r="6" spans="1:29" x14ac:dyDescent="0.15">
      <c r="A6" s="181" t="str">
        <f t="shared" si="13"/>
        <v>2017-01</v>
      </c>
      <c r="B6" s="182">
        <f t="shared" si="14"/>
        <v>2.7710020000000002</v>
      </c>
      <c r="C6" s="182">
        <f t="shared" si="0"/>
        <v>0.48987799999999998</v>
      </c>
      <c r="D6" s="182">
        <f t="shared" si="1"/>
        <v>46.171643000000003</v>
      </c>
      <c r="E6" s="182">
        <f t="shared" si="2"/>
        <v>29.248726000000001</v>
      </c>
      <c r="F6" s="182">
        <f t="shared" si="3"/>
        <v>0.363674</v>
      </c>
      <c r="G6" s="182">
        <f t="shared" si="4"/>
        <v>20.304846999999999</v>
      </c>
      <c r="H6" s="182">
        <f t="shared" si="5"/>
        <v>6.3356320000000004</v>
      </c>
      <c r="I6" s="182">
        <f t="shared" si="6"/>
        <v>7.1455419999999998</v>
      </c>
      <c r="J6" s="182">
        <f t="shared" si="7"/>
        <v>3.1220759999999999</v>
      </c>
      <c r="K6" s="182">
        <f t="shared" si="8"/>
        <v>1.8259529999999999</v>
      </c>
      <c r="L6" s="182">
        <f t="shared" si="9"/>
        <v>11.745070999999999</v>
      </c>
      <c r="M6" s="182">
        <f t="shared" si="10"/>
        <v>0.55241200000000001</v>
      </c>
      <c r="N6" s="182">
        <f t="shared" si="11"/>
        <v>130.07645600000001</v>
      </c>
      <c r="P6" s="4" t="s">
        <v>128</v>
      </c>
      <c r="Q6" s="194">
        <v>2771002</v>
      </c>
      <c r="R6" s="194">
        <v>489878</v>
      </c>
      <c r="S6" s="194">
        <v>46171643</v>
      </c>
      <c r="T6" s="194">
        <v>29248726</v>
      </c>
      <c r="U6" s="194">
        <v>363674</v>
      </c>
      <c r="V6" s="194">
        <v>20304847</v>
      </c>
      <c r="W6" s="194">
        <v>6335632</v>
      </c>
      <c r="X6" s="194">
        <v>7145542</v>
      </c>
      <c r="Y6" s="194">
        <v>3122076</v>
      </c>
      <c r="Z6" s="194">
        <v>1825953</v>
      </c>
      <c r="AA6" s="194">
        <v>11745071</v>
      </c>
      <c r="AB6" s="194">
        <v>552412</v>
      </c>
      <c r="AC6" s="7">
        <f t="shared" si="12"/>
        <v>130076456</v>
      </c>
    </row>
    <row r="7" spans="1:29" x14ac:dyDescent="0.15">
      <c r="A7" s="181" t="str">
        <f t="shared" si="13"/>
        <v>2017-02</v>
      </c>
      <c r="B7" s="182">
        <f t="shared" si="14"/>
        <v>3.0088780000000002</v>
      </c>
      <c r="C7" s="182">
        <f t="shared" si="0"/>
        <v>0.407192</v>
      </c>
      <c r="D7" s="182">
        <f t="shared" si="1"/>
        <v>47.035696999999999</v>
      </c>
      <c r="E7" s="182">
        <f t="shared" si="2"/>
        <v>21.394023000000001</v>
      </c>
      <c r="F7" s="182">
        <f t="shared" si="3"/>
        <v>1.4144190000000001</v>
      </c>
      <c r="G7" s="182">
        <f t="shared" si="4"/>
        <v>18.588303</v>
      </c>
      <c r="H7" s="182">
        <f t="shared" si="5"/>
        <v>4.5483929999999999</v>
      </c>
      <c r="I7" s="182">
        <f t="shared" si="6"/>
        <v>11.260133</v>
      </c>
      <c r="J7" s="182">
        <f t="shared" si="7"/>
        <v>4.8340180000000004</v>
      </c>
      <c r="K7" s="182">
        <f t="shared" si="8"/>
        <v>1.1195999999999999</v>
      </c>
      <c r="L7" s="182">
        <f t="shared" si="9"/>
        <v>18.040313999999999</v>
      </c>
      <c r="M7" s="182">
        <f t="shared" si="10"/>
        <v>0.49415599999999998</v>
      </c>
      <c r="N7" s="182">
        <f t="shared" si="11"/>
        <v>132.145126</v>
      </c>
      <c r="P7" s="4" t="s">
        <v>129</v>
      </c>
      <c r="Q7" s="194">
        <v>3008878</v>
      </c>
      <c r="R7" s="194">
        <v>407192</v>
      </c>
      <c r="S7" s="194">
        <v>47035697</v>
      </c>
      <c r="T7" s="194">
        <v>21394023</v>
      </c>
      <c r="U7" s="194">
        <v>1414419</v>
      </c>
      <c r="V7" s="194">
        <v>18588303</v>
      </c>
      <c r="W7" s="194">
        <v>4548393</v>
      </c>
      <c r="X7" s="194">
        <v>11260133</v>
      </c>
      <c r="Y7" s="194">
        <v>4834018</v>
      </c>
      <c r="Z7" s="194">
        <v>1119600</v>
      </c>
      <c r="AA7" s="194">
        <v>18040314</v>
      </c>
      <c r="AB7" s="194">
        <v>494156</v>
      </c>
      <c r="AC7" s="7">
        <f t="shared" si="12"/>
        <v>132145126</v>
      </c>
    </row>
    <row r="8" spans="1:29" x14ac:dyDescent="0.15">
      <c r="A8" s="181" t="str">
        <f t="shared" si="13"/>
        <v>2017-03</v>
      </c>
      <c r="B8" s="182">
        <f t="shared" si="14"/>
        <v>6.5333699999999997</v>
      </c>
      <c r="C8" s="182">
        <f t="shared" si="0"/>
        <v>0.57478399999999996</v>
      </c>
      <c r="D8" s="182">
        <f t="shared" si="1"/>
        <v>43.217168999999998</v>
      </c>
      <c r="E8" s="182">
        <f t="shared" si="2"/>
        <v>23.460882000000002</v>
      </c>
      <c r="F8" s="182">
        <f t="shared" si="3"/>
        <v>0.45617200000000002</v>
      </c>
      <c r="G8" s="182">
        <f t="shared" si="4"/>
        <v>22.144411999999999</v>
      </c>
      <c r="H8" s="182">
        <f t="shared" si="5"/>
        <v>5.020524</v>
      </c>
      <c r="I8" s="182">
        <f t="shared" si="6"/>
        <v>15.261958</v>
      </c>
      <c r="J8" s="182">
        <f t="shared" si="7"/>
        <v>4.7254269999999998</v>
      </c>
      <c r="K8" s="182">
        <f t="shared" si="8"/>
        <v>2.0085280000000001</v>
      </c>
      <c r="L8" s="182">
        <f t="shared" si="9"/>
        <v>3.18268</v>
      </c>
      <c r="M8" s="182">
        <f t="shared" si="10"/>
        <v>0.56341799999999997</v>
      </c>
      <c r="N8" s="182">
        <f t="shared" si="11"/>
        <v>127.14932399999998</v>
      </c>
      <c r="P8" s="4" t="s">
        <v>130</v>
      </c>
      <c r="Q8" s="194">
        <v>6533370</v>
      </c>
      <c r="R8" s="194">
        <v>574784</v>
      </c>
      <c r="S8" s="194">
        <v>43217169</v>
      </c>
      <c r="T8" s="194">
        <v>23460882</v>
      </c>
      <c r="U8" s="194">
        <v>456172</v>
      </c>
      <c r="V8" s="194">
        <v>22144412</v>
      </c>
      <c r="W8" s="194">
        <v>5020524</v>
      </c>
      <c r="X8" s="194">
        <v>15261958</v>
      </c>
      <c r="Y8" s="194">
        <v>4725427</v>
      </c>
      <c r="Z8" s="194">
        <v>2008528</v>
      </c>
      <c r="AA8" s="194">
        <v>3182680</v>
      </c>
      <c r="AB8" s="194">
        <v>563418</v>
      </c>
      <c r="AC8" s="7">
        <f t="shared" si="12"/>
        <v>127149324</v>
      </c>
    </row>
    <row r="9" spans="1:29" x14ac:dyDescent="0.15">
      <c r="A9" s="181" t="str">
        <f t="shared" si="13"/>
        <v>2017-04</v>
      </c>
      <c r="B9" s="182">
        <f t="shared" si="14"/>
        <v>2.7080299999999999</v>
      </c>
      <c r="C9" s="182">
        <f t="shared" si="0"/>
        <v>0.46554200000000001</v>
      </c>
      <c r="D9" s="182">
        <f t="shared" si="1"/>
        <v>33.408380999999999</v>
      </c>
      <c r="E9" s="182">
        <f t="shared" si="2"/>
        <v>22.643708</v>
      </c>
      <c r="F9" s="182">
        <f t="shared" si="3"/>
        <v>0.75647600000000004</v>
      </c>
      <c r="G9" s="182">
        <f t="shared" si="4"/>
        <v>19.472131000000001</v>
      </c>
      <c r="H9" s="182">
        <f t="shared" si="5"/>
        <v>7.9866529999999996</v>
      </c>
      <c r="I9" s="182">
        <f t="shared" si="6"/>
        <v>4.3329700000000004</v>
      </c>
      <c r="J9" s="182">
        <f t="shared" si="7"/>
        <v>3.5608420000000001</v>
      </c>
      <c r="K9" s="182">
        <f t="shared" si="8"/>
        <v>3.2598400000000001</v>
      </c>
      <c r="L9" s="182">
        <f t="shared" si="9"/>
        <v>6.569903</v>
      </c>
      <c r="M9" s="182">
        <f t="shared" si="10"/>
        <v>0.19840099999999999</v>
      </c>
      <c r="N9" s="182">
        <f t="shared" si="11"/>
        <v>105.362877</v>
      </c>
      <c r="P9" s="4" t="s">
        <v>131</v>
      </c>
      <c r="Q9" s="194">
        <v>2708030</v>
      </c>
      <c r="R9" s="194">
        <v>465542</v>
      </c>
      <c r="S9" s="194">
        <v>33408381</v>
      </c>
      <c r="T9" s="194">
        <v>22643708</v>
      </c>
      <c r="U9" s="194">
        <v>756476</v>
      </c>
      <c r="V9" s="194">
        <v>19472131</v>
      </c>
      <c r="W9" s="194">
        <v>7986653</v>
      </c>
      <c r="X9" s="194">
        <v>4332970</v>
      </c>
      <c r="Y9" s="194">
        <v>3560842</v>
      </c>
      <c r="Z9" s="194">
        <v>3259840</v>
      </c>
      <c r="AA9" s="194">
        <v>6569903</v>
      </c>
      <c r="AB9" s="194">
        <v>198401</v>
      </c>
      <c r="AC9" s="7">
        <f t="shared" si="12"/>
        <v>105362877</v>
      </c>
    </row>
    <row r="10" spans="1:29" x14ac:dyDescent="0.15">
      <c r="A10" s="181" t="str">
        <f t="shared" si="13"/>
        <v>2017-05</v>
      </c>
      <c r="B10" s="182">
        <f t="shared" si="14"/>
        <v>2.502367</v>
      </c>
      <c r="C10" s="182">
        <f t="shared" si="0"/>
        <v>0.67568700000000004</v>
      </c>
      <c r="D10" s="182">
        <f t="shared" si="1"/>
        <v>22.882829000000001</v>
      </c>
      <c r="E10" s="182">
        <f t="shared" si="2"/>
        <v>19.580933999999999</v>
      </c>
      <c r="F10" s="182">
        <f t="shared" si="3"/>
        <v>1.062678</v>
      </c>
      <c r="G10" s="182">
        <f t="shared" si="4"/>
        <v>19.590661000000001</v>
      </c>
      <c r="H10" s="182">
        <f t="shared" si="5"/>
        <v>12.273994999999999</v>
      </c>
      <c r="I10" s="182">
        <f t="shared" si="6"/>
        <v>14.086124</v>
      </c>
      <c r="J10" s="182">
        <f t="shared" si="7"/>
        <v>4.9317060000000001</v>
      </c>
      <c r="K10" s="182">
        <f t="shared" si="8"/>
        <v>2.0938850000000002</v>
      </c>
      <c r="L10" s="182">
        <f t="shared" si="9"/>
        <v>7.4285019999999999</v>
      </c>
      <c r="M10" s="182">
        <f t="shared" si="10"/>
        <v>4.3043999999999999E-2</v>
      </c>
      <c r="N10" s="182">
        <f t="shared" si="11"/>
        <v>107.152412</v>
      </c>
      <c r="P10" s="4" t="s">
        <v>132</v>
      </c>
      <c r="Q10" s="194">
        <v>2502367</v>
      </c>
      <c r="R10" s="194">
        <v>675687</v>
      </c>
      <c r="S10" s="194">
        <v>22882829</v>
      </c>
      <c r="T10" s="194">
        <v>19580934</v>
      </c>
      <c r="U10" s="194">
        <v>1062678</v>
      </c>
      <c r="V10" s="194">
        <v>19590661</v>
      </c>
      <c r="W10" s="194">
        <v>12273995</v>
      </c>
      <c r="X10" s="194">
        <v>14086124</v>
      </c>
      <c r="Y10" s="194">
        <v>4931706</v>
      </c>
      <c r="Z10" s="194">
        <v>2093885</v>
      </c>
      <c r="AA10" s="194">
        <v>7428502</v>
      </c>
      <c r="AB10" s="194">
        <v>43044</v>
      </c>
      <c r="AC10" s="7">
        <f t="shared" si="12"/>
        <v>107152412</v>
      </c>
    </row>
    <row r="11" spans="1:29" x14ac:dyDescent="0.15">
      <c r="A11" s="181" t="str">
        <f t="shared" si="13"/>
        <v>2017-06</v>
      </c>
      <c r="B11" s="182">
        <f t="shared" si="14"/>
        <v>3.4356800000000001</v>
      </c>
      <c r="C11" s="182">
        <f t="shared" si="0"/>
        <v>0.59206000000000003</v>
      </c>
      <c r="D11" s="182">
        <f t="shared" si="1"/>
        <v>19.862511999999999</v>
      </c>
      <c r="E11" s="182">
        <f t="shared" si="2"/>
        <v>19.336023000000001</v>
      </c>
      <c r="F11" s="182">
        <f t="shared" si="3"/>
        <v>0.87729199999999996</v>
      </c>
      <c r="G11" s="182">
        <f t="shared" si="4"/>
        <v>16.252473999999999</v>
      </c>
      <c r="H11" s="182">
        <f t="shared" si="5"/>
        <v>10.668571999999999</v>
      </c>
      <c r="I11" s="182">
        <f t="shared" si="6"/>
        <v>15.853478000000001</v>
      </c>
      <c r="J11" s="182">
        <f t="shared" si="7"/>
        <v>2.929287</v>
      </c>
      <c r="K11" s="182">
        <f t="shared" si="8"/>
        <v>1.8956280000000001</v>
      </c>
      <c r="L11" s="182">
        <f t="shared" si="9"/>
        <v>4.9546650000000003</v>
      </c>
      <c r="M11" s="182">
        <f t="shared" si="10"/>
        <v>3.3218999999999999E-2</v>
      </c>
      <c r="N11" s="182">
        <f t="shared" si="11"/>
        <v>96.69089000000001</v>
      </c>
      <c r="P11" s="4" t="s">
        <v>133</v>
      </c>
      <c r="Q11" s="194">
        <v>3435680</v>
      </c>
      <c r="R11" s="194">
        <v>592060</v>
      </c>
      <c r="S11" s="194">
        <v>19862512</v>
      </c>
      <c r="T11" s="194">
        <v>19336023</v>
      </c>
      <c r="U11" s="194">
        <v>877292</v>
      </c>
      <c r="V11" s="194">
        <v>16252474</v>
      </c>
      <c r="W11" s="194">
        <v>10668572</v>
      </c>
      <c r="X11" s="194">
        <v>15853478</v>
      </c>
      <c r="Y11" s="194">
        <v>2929287</v>
      </c>
      <c r="Z11" s="194">
        <v>1895628</v>
      </c>
      <c r="AA11" s="194">
        <v>4954665</v>
      </c>
      <c r="AB11" s="194">
        <v>33219</v>
      </c>
      <c r="AC11" s="7">
        <f t="shared" si="12"/>
        <v>96690890</v>
      </c>
    </row>
    <row r="12" spans="1:29" x14ac:dyDescent="0.15">
      <c r="A12" s="181" t="str">
        <f t="shared" si="13"/>
        <v>2017-07</v>
      </c>
      <c r="B12" s="182">
        <f t="shared" si="14"/>
        <v>1.9198949999999999</v>
      </c>
      <c r="C12" s="182">
        <f t="shared" si="0"/>
        <v>0.55062599999999995</v>
      </c>
      <c r="D12" s="182">
        <f t="shared" si="1"/>
        <v>15.579587</v>
      </c>
      <c r="E12" s="182">
        <f t="shared" si="2"/>
        <v>22.131501</v>
      </c>
      <c r="F12" s="182">
        <f t="shared" si="3"/>
        <v>0.49210399999999999</v>
      </c>
      <c r="G12" s="182">
        <f t="shared" si="4"/>
        <v>20.791892000000001</v>
      </c>
      <c r="H12" s="182">
        <f t="shared" si="5"/>
        <v>10.577937</v>
      </c>
      <c r="I12" s="182">
        <f t="shared" si="6"/>
        <v>6.3753859999999998</v>
      </c>
      <c r="J12" s="182">
        <f t="shared" si="7"/>
        <v>2.7457500000000001</v>
      </c>
      <c r="K12" s="182">
        <f t="shared" si="8"/>
        <v>2.8676490000000001</v>
      </c>
      <c r="L12" s="182">
        <f t="shared" si="9"/>
        <v>4.6253080000000004</v>
      </c>
      <c r="M12" s="182">
        <f t="shared" si="10"/>
        <v>3.1573999999999998E-2</v>
      </c>
      <c r="N12" s="182">
        <f t="shared" si="11"/>
        <v>88.68920900000002</v>
      </c>
      <c r="P12" s="4" t="s">
        <v>134</v>
      </c>
      <c r="Q12" s="194">
        <v>1919895</v>
      </c>
      <c r="R12" s="194">
        <v>550626</v>
      </c>
      <c r="S12" s="194">
        <v>15579587</v>
      </c>
      <c r="T12" s="194">
        <v>22131501</v>
      </c>
      <c r="U12" s="194">
        <v>492104</v>
      </c>
      <c r="V12" s="194">
        <v>20791892</v>
      </c>
      <c r="W12" s="194">
        <v>10577937</v>
      </c>
      <c r="X12" s="194">
        <v>6375386</v>
      </c>
      <c r="Y12" s="194">
        <v>2745750</v>
      </c>
      <c r="Z12" s="194">
        <v>2867649</v>
      </c>
      <c r="AA12" s="194">
        <v>4625308</v>
      </c>
      <c r="AB12" s="194">
        <v>31574</v>
      </c>
      <c r="AC12" s="7">
        <f t="shared" si="12"/>
        <v>88689209</v>
      </c>
    </row>
    <row r="13" spans="1:29" x14ac:dyDescent="0.15">
      <c r="A13" s="181" t="str">
        <f t="shared" si="13"/>
        <v>2017-08</v>
      </c>
      <c r="B13" s="182">
        <f t="shared" si="14"/>
        <v>1.671961</v>
      </c>
      <c r="C13" s="182">
        <f t="shared" si="0"/>
        <v>0.59630499999999997</v>
      </c>
      <c r="D13" s="182">
        <f t="shared" si="1"/>
        <v>17.773150000000001</v>
      </c>
      <c r="E13" s="182">
        <f t="shared" si="2"/>
        <v>23.428270999999999</v>
      </c>
      <c r="F13" s="182">
        <f t="shared" si="3"/>
        <v>0.27289000000000002</v>
      </c>
      <c r="G13" s="182">
        <f t="shared" si="4"/>
        <v>17.637989000000001</v>
      </c>
      <c r="H13" s="182">
        <f t="shared" si="5"/>
        <v>7.0217109999999998</v>
      </c>
      <c r="I13" s="182">
        <f t="shared" si="6"/>
        <v>5.2203689999999998</v>
      </c>
      <c r="J13" s="182">
        <f t="shared" si="7"/>
        <v>4.879912</v>
      </c>
      <c r="K13" s="182">
        <f t="shared" si="8"/>
        <v>2.8721459999999999</v>
      </c>
      <c r="L13" s="182">
        <f t="shared" si="9"/>
        <v>5.6344110000000001</v>
      </c>
      <c r="M13" s="182">
        <f t="shared" si="10"/>
        <v>2.9534999999999999E-2</v>
      </c>
      <c r="N13" s="182">
        <f t="shared" si="11"/>
        <v>87.038650000000004</v>
      </c>
      <c r="P13" s="4" t="s">
        <v>135</v>
      </c>
      <c r="Q13" s="194">
        <v>1671961</v>
      </c>
      <c r="R13" s="194">
        <v>596305</v>
      </c>
      <c r="S13" s="194">
        <v>17773150</v>
      </c>
      <c r="T13" s="194">
        <v>23428271</v>
      </c>
      <c r="U13" s="194">
        <v>272890</v>
      </c>
      <c r="V13" s="194">
        <v>17637989</v>
      </c>
      <c r="W13" s="194">
        <v>7021711</v>
      </c>
      <c r="X13" s="194">
        <v>5220369</v>
      </c>
      <c r="Y13" s="194">
        <v>4879912</v>
      </c>
      <c r="Z13" s="194">
        <v>2872146</v>
      </c>
      <c r="AA13" s="194">
        <v>5634411</v>
      </c>
      <c r="AB13" s="194">
        <v>29535</v>
      </c>
      <c r="AC13" s="7">
        <f t="shared" si="12"/>
        <v>87038650</v>
      </c>
    </row>
    <row r="14" spans="1:29" x14ac:dyDescent="0.15">
      <c r="A14" s="181" t="str">
        <f t="shared" si="13"/>
        <v>2017-09</v>
      </c>
      <c r="B14" s="182">
        <f t="shared" si="14"/>
        <v>1.4931220000000001</v>
      </c>
      <c r="C14" s="182">
        <f t="shared" si="0"/>
        <v>0.54231499999999999</v>
      </c>
      <c r="D14" s="182">
        <f t="shared" si="1"/>
        <v>43.850135999999999</v>
      </c>
      <c r="E14" s="182">
        <f t="shared" si="2"/>
        <v>18.500343000000001</v>
      </c>
      <c r="F14" s="182">
        <f t="shared" si="3"/>
        <v>0.39795399999999997</v>
      </c>
      <c r="G14" s="182">
        <f t="shared" si="4"/>
        <v>19.094480000000001</v>
      </c>
      <c r="H14" s="182">
        <f t="shared" si="5"/>
        <v>9.2394940000000005</v>
      </c>
      <c r="I14" s="182">
        <f t="shared" si="6"/>
        <v>5.383273</v>
      </c>
      <c r="J14" s="182">
        <f t="shared" si="7"/>
        <v>3.8823979999999998</v>
      </c>
      <c r="K14" s="182">
        <f t="shared" si="8"/>
        <v>2.8629039999999999</v>
      </c>
      <c r="L14" s="182">
        <f t="shared" si="9"/>
        <v>3.4945179999999998</v>
      </c>
      <c r="M14" s="182">
        <f t="shared" si="10"/>
        <v>2.9108999999999999E-2</v>
      </c>
      <c r="N14" s="182">
        <f t="shared" si="11"/>
        <v>108.77004600000002</v>
      </c>
      <c r="P14" s="4" t="s">
        <v>136</v>
      </c>
      <c r="Q14" s="194">
        <v>1493122</v>
      </c>
      <c r="R14" s="194">
        <v>542315</v>
      </c>
      <c r="S14" s="194">
        <v>43850136</v>
      </c>
      <c r="T14" s="194">
        <v>18500343</v>
      </c>
      <c r="U14" s="194">
        <v>397954</v>
      </c>
      <c r="V14" s="194">
        <v>19094480</v>
      </c>
      <c r="W14" s="194">
        <v>9239494</v>
      </c>
      <c r="X14" s="194">
        <v>5383273</v>
      </c>
      <c r="Y14" s="194">
        <v>3882398</v>
      </c>
      <c r="Z14" s="194">
        <v>2862904</v>
      </c>
      <c r="AA14" s="194">
        <v>3494518</v>
      </c>
      <c r="AB14" s="194">
        <v>29109</v>
      </c>
      <c r="AC14" s="7">
        <f t="shared" si="12"/>
        <v>108770046</v>
      </c>
    </row>
    <row r="15" spans="1:29" x14ac:dyDescent="0.15">
      <c r="A15" s="183" t="s">
        <v>20</v>
      </c>
      <c r="B15" s="182">
        <f>SUM(B3:B14)</f>
        <v>31.037472000000001</v>
      </c>
      <c r="C15" s="182">
        <f t="shared" ref="C15:M15" si="15">SUM(C3:C14)</f>
        <v>6.6679250000000012</v>
      </c>
      <c r="D15" s="182">
        <f t="shared" si="15"/>
        <v>384.034918</v>
      </c>
      <c r="E15" s="182">
        <f t="shared" si="15"/>
        <v>257.50330300000002</v>
      </c>
      <c r="F15" s="182">
        <f t="shared" si="15"/>
        <v>6.8701800000000013</v>
      </c>
      <c r="G15" s="182">
        <f t="shared" si="15"/>
        <v>208.186137</v>
      </c>
      <c r="H15" s="182">
        <f t="shared" si="15"/>
        <v>107.76190599999998</v>
      </c>
      <c r="I15" s="182">
        <f t="shared" si="15"/>
        <v>102.27287900000002</v>
      </c>
      <c r="J15" s="182">
        <f t="shared" si="15"/>
        <v>47.917738000000007</v>
      </c>
      <c r="K15" s="182">
        <f t="shared" si="15"/>
        <v>26.890238</v>
      </c>
      <c r="L15" s="182">
        <f t="shared" si="15"/>
        <v>87.788122999999999</v>
      </c>
      <c r="M15" s="182">
        <f t="shared" si="15"/>
        <v>3.5554549999999998</v>
      </c>
      <c r="N15" s="182">
        <f t="shared" si="11"/>
        <v>1270.4862740000001</v>
      </c>
      <c r="P15" s="8" t="s">
        <v>20</v>
      </c>
      <c r="Q15" s="7">
        <f t="shared" ref="Q15:AC15" si="16">SUM(Q3:Q14)</f>
        <v>31037472</v>
      </c>
      <c r="R15" s="7">
        <f t="shared" si="16"/>
        <v>6667925</v>
      </c>
      <c r="S15" s="7">
        <f t="shared" si="16"/>
        <v>384034918</v>
      </c>
      <c r="T15" s="7">
        <f t="shared" si="16"/>
        <v>257503303</v>
      </c>
      <c r="U15" s="7">
        <f t="shared" si="16"/>
        <v>6870180</v>
      </c>
      <c r="V15" s="7">
        <f t="shared" si="16"/>
        <v>208186137</v>
      </c>
      <c r="W15" s="7">
        <f t="shared" si="16"/>
        <v>107761906</v>
      </c>
      <c r="X15" s="7">
        <f t="shared" si="16"/>
        <v>102272879</v>
      </c>
      <c r="Y15" s="7">
        <f t="shared" si="16"/>
        <v>47917738</v>
      </c>
      <c r="Z15" s="7">
        <f t="shared" si="16"/>
        <v>26890238</v>
      </c>
      <c r="AA15" s="7">
        <f t="shared" si="16"/>
        <v>87788123</v>
      </c>
      <c r="AB15" s="7">
        <f t="shared" si="16"/>
        <v>3555455</v>
      </c>
      <c r="AC15" s="7">
        <f t="shared" si="16"/>
        <v>1270486274</v>
      </c>
    </row>
    <row r="16" spans="1:29" x14ac:dyDescent="0.15">
      <c r="A16" s="15" t="s">
        <v>37</v>
      </c>
      <c r="B16" s="23">
        <f>AVERAGE(B3:B14)</f>
        <v>2.5864560000000001</v>
      </c>
      <c r="C16" s="23">
        <f t="shared" ref="C16:M16" si="17">AVERAGE(C3:C14)</f>
        <v>0.55566041666666677</v>
      </c>
      <c r="D16" s="23">
        <f t="shared" si="17"/>
        <v>32.002909833333334</v>
      </c>
      <c r="E16" s="23">
        <f t="shared" si="17"/>
        <v>21.458608583333334</v>
      </c>
      <c r="F16" s="23">
        <f t="shared" si="17"/>
        <v>0.57251500000000011</v>
      </c>
      <c r="G16" s="23">
        <f t="shared" si="17"/>
        <v>17.348844750000001</v>
      </c>
      <c r="H16" s="23">
        <f t="shared" si="17"/>
        <v>8.9801588333333324</v>
      </c>
      <c r="I16" s="23">
        <f t="shared" si="17"/>
        <v>8.5227399166666675</v>
      </c>
      <c r="J16" s="23">
        <f t="shared" si="17"/>
        <v>3.9931448333333339</v>
      </c>
      <c r="K16" s="23">
        <f t="shared" si="17"/>
        <v>2.2408531666666667</v>
      </c>
      <c r="L16" s="23">
        <f t="shared" si="17"/>
        <v>7.3156769166666669</v>
      </c>
      <c r="M16" s="23">
        <f t="shared" si="17"/>
        <v>0.29628791666666665</v>
      </c>
    </row>
    <row r="17" spans="1:15" x14ac:dyDescent="0.15">
      <c r="A17" s="184" t="s">
        <v>137</v>
      </c>
      <c r="B17" s="185">
        <v>18.483861999999998</v>
      </c>
      <c r="C17" s="185">
        <v>5.1804249999999996</v>
      </c>
      <c r="D17" s="185">
        <v>316.508622</v>
      </c>
      <c r="E17" s="185">
        <v>409.16399200000001</v>
      </c>
      <c r="F17" s="185">
        <v>3.9329890000000001</v>
      </c>
      <c r="G17" s="185">
        <v>174.59097600000001</v>
      </c>
      <c r="H17" s="185">
        <v>230.71311800000001</v>
      </c>
      <c r="I17" s="185">
        <v>82.185432000000006</v>
      </c>
      <c r="J17" s="185">
        <v>65.432243</v>
      </c>
      <c r="K17" s="185">
        <v>31.550469</v>
      </c>
      <c r="L17" s="185">
        <v>93.017982000000003</v>
      </c>
      <c r="M17" s="185">
        <v>5.7873919999999996</v>
      </c>
      <c r="N17" s="182">
        <f>SUM(B17:M17)</f>
        <v>1436.5475020000001</v>
      </c>
    </row>
    <row r="19" spans="1:15" x14ac:dyDescent="0.15">
      <c r="B19" s="304" t="s">
        <v>38</v>
      </c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</row>
    <row r="20" spans="1:15" x14ac:dyDescent="0.15">
      <c r="A20" s="15" t="s">
        <v>21</v>
      </c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4" t="s">
        <v>19</v>
      </c>
      <c r="H20" s="2" t="s">
        <v>12</v>
      </c>
      <c r="I20" s="4" t="s">
        <v>13</v>
      </c>
      <c r="J20" s="4" t="s">
        <v>24</v>
      </c>
      <c r="K20" s="4" t="s">
        <v>14</v>
      </c>
      <c r="L20" s="4" t="s">
        <v>17</v>
      </c>
      <c r="M20" s="4" t="s">
        <v>15</v>
      </c>
    </row>
    <row r="21" spans="1:15" x14ac:dyDescent="0.15">
      <c r="A21" s="186">
        <v>42644</v>
      </c>
      <c r="B21" s="187">
        <f t="shared" ref="B21:B32" si="18">B3-B$16</f>
        <v>-0.99981500000000012</v>
      </c>
      <c r="C21" s="187">
        <f t="shared" ref="C21:M21" si="19">C3-C$16</f>
        <v>3.3606583333333218E-2</v>
      </c>
      <c r="D21" s="187">
        <f t="shared" si="19"/>
        <v>-1.4601748333333333</v>
      </c>
      <c r="E21" s="187">
        <f t="shared" si="19"/>
        <v>-0.77095058333333455</v>
      </c>
      <c r="F21" s="187">
        <f t="shared" si="19"/>
        <v>-0.45193500000000009</v>
      </c>
      <c r="G21" s="187">
        <f t="shared" si="19"/>
        <v>-7.7161617500000013</v>
      </c>
      <c r="H21" s="187">
        <f t="shared" si="19"/>
        <v>1.8883011666666683</v>
      </c>
      <c r="I21" s="187">
        <f t="shared" si="19"/>
        <v>-3.0512229166666671</v>
      </c>
      <c r="J21" s="187">
        <f t="shared" si="19"/>
        <v>0.30270416666666566</v>
      </c>
      <c r="K21" s="187">
        <f t="shared" si="19"/>
        <v>0.19408383333333346</v>
      </c>
      <c r="L21" s="187">
        <f t="shared" si="19"/>
        <v>-1.6819289166666671</v>
      </c>
      <c r="M21" s="187">
        <f t="shared" si="19"/>
        <v>0.23464508333333334</v>
      </c>
      <c r="N21" s="18"/>
      <c r="O21" s="18"/>
    </row>
    <row r="22" spans="1:15" x14ac:dyDescent="0.15">
      <c r="A22" s="186">
        <v>42675</v>
      </c>
      <c r="B22" s="187">
        <f t="shared" si="18"/>
        <v>-1.038308</v>
      </c>
      <c r="C22" s="187">
        <f t="shared" ref="C22:M22" si="20">C4-C$16</f>
        <v>0.14074458333333328</v>
      </c>
      <c r="D22" s="187">
        <f t="shared" si="20"/>
        <v>1.2931381666666653</v>
      </c>
      <c r="E22" s="187">
        <f t="shared" si="20"/>
        <v>-5.9660375833333337</v>
      </c>
      <c r="F22" s="187">
        <f t="shared" si="20"/>
        <v>4.4374999999999942E-2</v>
      </c>
      <c r="G22" s="187">
        <f t="shared" si="20"/>
        <v>-4.1230647500000011</v>
      </c>
      <c r="H22" s="187">
        <f t="shared" si="20"/>
        <v>3.5154731666666681</v>
      </c>
      <c r="I22" s="187">
        <f t="shared" si="20"/>
        <v>-2.1517669166666673</v>
      </c>
      <c r="J22" s="187">
        <f t="shared" si="20"/>
        <v>0.24630616666666594</v>
      </c>
      <c r="K22" s="187">
        <f t="shared" si="20"/>
        <v>-1.1695401666666667</v>
      </c>
      <c r="L22" s="187">
        <f t="shared" si="20"/>
        <v>0.4707260833333331</v>
      </c>
      <c r="M22" s="187">
        <f t="shared" si="20"/>
        <v>0.28244308333333334</v>
      </c>
    </row>
    <row r="23" spans="1:15" x14ac:dyDescent="0.15">
      <c r="A23" s="186">
        <v>42705</v>
      </c>
      <c r="B23" s="187">
        <f t="shared" si="18"/>
        <v>-0.728078</v>
      </c>
      <c r="C23" s="187">
        <f t="shared" ref="C23:M23" si="21">C5-C$16</f>
        <v>-6.7796416666666748E-2</v>
      </c>
      <c r="D23" s="187">
        <f t="shared" si="21"/>
        <v>-1.5878788333333347</v>
      </c>
      <c r="E23" s="187">
        <f t="shared" si="21"/>
        <v>0.14005441666666485</v>
      </c>
      <c r="F23" s="187">
        <f t="shared" si="21"/>
        <v>-0.53346400000000016</v>
      </c>
      <c r="G23" s="187">
        <f t="shared" si="21"/>
        <v>-5.8983597500000009</v>
      </c>
      <c r="H23" s="187">
        <f t="shared" si="21"/>
        <v>1.744744166666667</v>
      </c>
      <c r="I23" s="187">
        <f t="shared" si="21"/>
        <v>-3.0115839166666678</v>
      </c>
      <c r="J23" s="187">
        <f t="shared" si="21"/>
        <v>-0.22212283333333405</v>
      </c>
      <c r="K23" s="187">
        <f t="shared" si="21"/>
        <v>0.33700183333333333</v>
      </c>
      <c r="L23" s="187">
        <f t="shared" si="21"/>
        <v>1.3769230833333337</v>
      </c>
      <c r="M23" s="187">
        <f t="shared" si="21"/>
        <v>0.17463508333333333</v>
      </c>
    </row>
    <row r="24" spans="1:15" x14ac:dyDescent="0.15">
      <c r="A24" s="186">
        <v>42736</v>
      </c>
      <c r="B24" s="187">
        <f t="shared" si="18"/>
        <v>0.1845460000000001</v>
      </c>
      <c r="C24" s="187">
        <f t="shared" ref="C24:M24" si="22">C6-C$16</f>
        <v>-6.5782416666666788E-2</v>
      </c>
      <c r="D24" s="187">
        <f t="shared" si="22"/>
        <v>14.168733166666669</v>
      </c>
      <c r="E24" s="187">
        <f t="shared" si="22"/>
        <v>7.7901174166666678</v>
      </c>
      <c r="F24" s="187">
        <f t="shared" si="22"/>
        <v>-0.20884100000000011</v>
      </c>
      <c r="G24" s="187">
        <f t="shared" si="22"/>
        <v>2.9560022499999974</v>
      </c>
      <c r="H24" s="187">
        <f t="shared" si="22"/>
        <v>-2.644526833333332</v>
      </c>
      <c r="I24" s="187">
        <f t="shared" si="22"/>
        <v>-1.3771979166666677</v>
      </c>
      <c r="J24" s="187">
        <f t="shared" si="22"/>
        <v>-0.87106883333333407</v>
      </c>
      <c r="K24" s="187">
        <f t="shared" si="22"/>
        <v>-0.41490016666666674</v>
      </c>
      <c r="L24" s="187">
        <f t="shared" si="22"/>
        <v>4.4293940833333325</v>
      </c>
      <c r="M24" s="187">
        <f t="shared" si="22"/>
        <v>0.25612408333333336</v>
      </c>
    </row>
    <row r="25" spans="1:15" x14ac:dyDescent="0.15">
      <c r="A25" s="186">
        <v>42767</v>
      </c>
      <c r="B25" s="187">
        <f t="shared" si="18"/>
        <v>0.42242200000000008</v>
      </c>
      <c r="C25" s="187">
        <f t="shared" ref="C25:M25" si="23">C7-C$16</f>
        <v>-0.14846841666666677</v>
      </c>
      <c r="D25" s="187">
        <f t="shared" si="23"/>
        <v>15.032787166666665</v>
      </c>
      <c r="E25" s="187">
        <f t="shared" si="23"/>
        <v>-6.4585583333332863E-2</v>
      </c>
      <c r="F25" s="187">
        <f t="shared" si="23"/>
        <v>0.84190399999999999</v>
      </c>
      <c r="G25" s="187">
        <f t="shared" si="23"/>
        <v>1.2394582499999984</v>
      </c>
      <c r="H25" s="187">
        <f t="shared" si="23"/>
        <v>-4.4317658333333325</v>
      </c>
      <c r="I25" s="187">
        <f t="shared" si="23"/>
        <v>2.7373930833333322</v>
      </c>
      <c r="J25" s="187">
        <f t="shared" si="23"/>
        <v>0.84087316666666645</v>
      </c>
      <c r="K25" s="187">
        <f t="shared" si="23"/>
        <v>-1.1212531666666667</v>
      </c>
      <c r="L25" s="187">
        <f t="shared" si="23"/>
        <v>10.724637083333331</v>
      </c>
      <c r="M25" s="187">
        <f t="shared" si="23"/>
        <v>0.19786808333333333</v>
      </c>
    </row>
    <row r="26" spans="1:15" x14ac:dyDescent="0.15">
      <c r="A26" s="186">
        <v>42795</v>
      </c>
      <c r="B26" s="187">
        <f t="shared" si="18"/>
        <v>3.9469139999999996</v>
      </c>
      <c r="C26" s="187">
        <f t="shared" ref="C26:M26" si="24">C8-C$16</f>
        <v>1.9123583333333194E-2</v>
      </c>
      <c r="D26" s="187">
        <f t="shared" si="24"/>
        <v>11.214259166666665</v>
      </c>
      <c r="E26" s="187">
        <f t="shared" si="24"/>
        <v>2.002273416666668</v>
      </c>
      <c r="F26" s="187">
        <f t="shared" si="24"/>
        <v>-0.11634300000000009</v>
      </c>
      <c r="G26" s="187">
        <f t="shared" si="24"/>
        <v>4.7955672499999977</v>
      </c>
      <c r="H26" s="187">
        <f t="shared" si="24"/>
        <v>-3.9596348333333324</v>
      </c>
      <c r="I26" s="187">
        <f t="shared" si="24"/>
        <v>6.7392180833333324</v>
      </c>
      <c r="J26" s="187">
        <f t="shared" si="24"/>
        <v>0.7322821666666659</v>
      </c>
      <c r="K26" s="187">
        <f t="shared" si="24"/>
        <v>-0.23232516666666658</v>
      </c>
      <c r="L26" s="187">
        <f t="shared" si="24"/>
        <v>-4.1329969166666665</v>
      </c>
      <c r="M26" s="187">
        <f t="shared" si="24"/>
        <v>0.26713008333333332</v>
      </c>
    </row>
    <row r="27" spans="1:15" x14ac:dyDescent="0.15">
      <c r="A27" s="186">
        <v>42826</v>
      </c>
      <c r="B27" s="187">
        <f t="shared" si="18"/>
        <v>0.12157399999999985</v>
      </c>
      <c r="C27" s="187">
        <f t="shared" ref="C27:M27" si="25">C9-C$16</f>
        <v>-9.0118416666666756E-2</v>
      </c>
      <c r="D27" s="187">
        <f t="shared" si="25"/>
        <v>1.4054711666666648</v>
      </c>
      <c r="E27" s="187">
        <f t="shared" si="25"/>
        <v>1.1850994166666666</v>
      </c>
      <c r="F27" s="187">
        <f t="shared" si="25"/>
        <v>0.18396099999999993</v>
      </c>
      <c r="G27" s="187">
        <f t="shared" si="25"/>
        <v>2.1232862499999996</v>
      </c>
      <c r="H27" s="187">
        <f t="shared" si="25"/>
        <v>-0.99350583333333287</v>
      </c>
      <c r="I27" s="187">
        <f t="shared" si="25"/>
        <v>-4.1897699166666671</v>
      </c>
      <c r="J27" s="187">
        <f t="shared" si="25"/>
        <v>-0.43230283333333386</v>
      </c>
      <c r="K27" s="187">
        <f t="shared" si="25"/>
        <v>1.0189868333333334</v>
      </c>
      <c r="L27" s="187">
        <f t="shared" si="25"/>
        <v>-0.74577391666666681</v>
      </c>
      <c r="M27" s="187">
        <f t="shared" si="25"/>
        <v>-9.7886916666666657E-2</v>
      </c>
    </row>
    <row r="28" spans="1:15" x14ac:dyDescent="0.15">
      <c r="A28" s="186">
        <v>42856</v>
      </c>
      <c r="B28" s="187">
        <f t="shared" si="18"/>
        <v>-8.408900000000008E-2</v>
      </c>
      <c r="C28" s="187">
        <f t="shared" ref="C28:M28" si="26">C10-C$16</f>
        <v>0.12002658333333327</v>
      </c>
      <c r="D28" s="187">
        <f t="shared" si="26"/>
        <v>-9.1200808333333327</v>
      </c>
      <c r="E28" s="187">
        <f t="shared" si="26"/>
        <v>-1.8776745833333344</v>
      </c>
      <c r="F28" s="187">
        <f t="shared" si="26"/>
        <v>0.4901629999999999</v>
      </c>
      <c r="G28" s="187">
        <f t="shared" si="26"/>
        <v>2.2418162499999994</v>
      </c>
      <c r="H28" s="187">
        <f t="shared" si="26"/>
        <v>3.2938361666666669</v>
      </c>
      <c r="I28" s="187">
        <f t="shared" si="26"/>
        <v>5.5633840833333323</v>
      </c>
      <c r="J28" s="187">
        <f t="shared" si="26"/>
        <v>0.93856116666666622</v>
      </c>
      <c r="K28" s="187">
        <f t="shared" si="26"/>
        <v>-0.14696816666666646</v>
      </c>
      <c r="L28" s="187">
        <f t="shared" si="26"/>
        <v>0.11282508333333308</v>
      </c>
      <c r="M28" s="187">
        <f t="shared" si="26"/>
        <v>-0.25324391666666668</v>
      </c>
    </row>
    <row r="29" spans="1:15" x14ac:dyDescent="0.15">
      <c r="A29" s="186">
        <v>42887</v>
      </c>
      <c r="B29" s="187">
        <f t="shared" si="18"/>
        <v>0.84922399999999998</v>
      </c>
      <c r="C29" s="187">
        <f t="shared" ref="C29:M29" si="27">C11-C$16</f>
        <v>3.6399583333333263E-2</v>
      </c>
      <c r="D29" s="187">
        <f t="shared" si="27"/>
        <v>-12.140397833333335</v>
      </c>
      <c r="E29" s="187">
        <f t="shared" si="27"/>
        <v>-2.1225855833333327</v>
      </c>
      <c r="F29" s="187">
        <f t="shared" si="27"/>
        <v>0.30477699999999985</v>
      </c>
      <c r="G29" s="187">
        <f t="shared" si="27"/>
        <v>-1.0963707500000019</v>
      </c>
      <c r="H29" s="187">
        <f t="shared" si="27"/>
        <v>1.6884131666666669</v>
      </c>
      <c r="I29" s="187">
        <f t="shared" si="27"/>
        <v>7.3307380833333333</v>
      </c>
      <c r="J29" s="187">
        <f t="shared" si="27"/>
        <v>-1.0638578333333339</v>
      </c>
      <c r="K29" s="187">
        <f t="shared" si="27"/>
        <v>-0.34522516666666658</v>
      </c>
      <c r="L29" s="187">
        <f t="shared" si="27"/>
        <v>-2.3610119166666665</v>
      </c>
      <c r="M29" s="187">
        <f t="shared" si="27"/>
        <v>-0.26306891666666665</v>
      </c>
    </row>
    <row r="30" spans="1:15" x14ac:dyDescent="0.15">
      <c r="A30" s="186">
        <v>42917</v>
      </c>
      <c r="B30" s="187">
        <f t="shared" si="18"/>
        <v>-0.66656100000000018</v>
      </c>
      <c r="C30" s="187">
        <f t="shared" ref="C30:M30" si="28">C12-C$16</f>
        <v>-5.0344166666668189E-3</v>
      </c>
      <c r="D30" s="187">
        <f t="shared" si="28"/>
        <v>-16.423322833333334</v>
      </c>
      <c r="E30" s="187">
        <f t="shared" si="28"/>
        <v>0.67289241666666655</v>
      </c>
      <c r="F30" s="187">
        <f t="shared" si="28"/>
        <v>-8.0411000000000121E-2</v>
      </c>
      <c r="G30" s="187">
        <f t="shared" si="28"/>
        <v>3.4430472499999993</v>
      </c>
      <c r="H30" s="187">
        <f t="shared" si="28"/>
        <v>1.5977781666666679</v>
      </c>
      <c r="I30" s="187">
        <f t="shared" si="28"/>
        <v>-2.1473539166666678</v>
      </c>
      <c r="J30" s="187">
        <f t="shared" si="28"/>
        <v>-1.2473948333333338</v>
      </c>
      <c r="K30" s="187">
        <f t="shared" si="28"/>
        <v>0.62679583333333344</v>
      </c>
      <c r="L30" s="187">
        <f t="shared" si="28"/>
        <v>-2.6903689166666664</v>
      </c>
      <c r="M30" s="187">
        <f t="shared" si="28"/>
        <v>-0.26471391666666666</v>
      </c>
    </row>
    <row r="31" spans="1:15" x14ac:dyDescent="0.15">
      <c r="A31" s="186">
        <v>42948</v>
      </c>
      <c r="B31" s="187">
        <f t="shared" si="18"/>
        <v>-0.91449500000000006</v>
      </c>
      <c r="C31" s="187">
        <f t="shared" ref="C31:M31" si="29">C13-C$16</f>
        <v>4.0644583333333206E-2</v>
      </c>
      <c r="D31" s="187">
        <f t="shared" si="29"/>
        <v>-14.229759833333333</v>
      </c>
      <c r="E31" s="187">
        <f t="shared" si="29"/>
        <v>1.9696624166666652</v>
      </c>
      <c r="F31" s="187">
        <f t="shared" si="29"/>
        <v>-0.29962500000000009</v>
      </c>
      <c r="G31" s="187">
        <f t="shared" si="29"/>
        <v>0.28914424999999966</v>
      </c>
      <c r="H31" s="187">
        <f t="shared" si="29"/>
        <v>-1.9584478333333326</v>
      </c>
      <c r="I31" s="187">
        <f t="shared" si="29"/>
        <v>-3.3023709166666677</v>
      </c>
      <c r="J31" s="187">
        <f t="shared" si="29"/>
        <v>0.88676716666666611</v>
      </c>
      <c r="K31" s="187">
        <f t="shared" si="29"/>
        <v>0.63129283333333319</v>
      </c>
      <c r="L31" s="187">
        <f t="shared" si="29"/>
        <v>-1.6812659166666668</v>
      </c>
      <c r="M31" s="187">
        <f t="shared" si="29"/>
        <v>-0.26675291666666667</v>
      </c>
    </row>
    <row r="32" spans="1:15" x14ac:dyDescent="0.15">
      <c r="A32" s="186">
        <v>42979</v>
      </c>
      <c r="B32" s="187">
        <f t="shared" si="18"/>
        <v>-1.093334</v>
      </c>
      <c r="C32" s="187">
        <f t="shared" ref="C32:M32" si="30">C14-C$16</f>
        <v>-1.3345416666666776E-2</v>
      </c>
      <c r="D32" s="187">
        <f t="shared" si="30"/>
        <v>11.847226166666665</v>
      </c>
      <c r="E32" s="187">
        <f t="shared" si="30"/>
        <v>-2.9582655833333327</v>
      </c>
      <c r="F32" s="187">
        <f t="shared" si="30"/>
        <v>-0.17456100000000013</v>
      </c>
      <c r="G32" s="187">
        <f t="shared" si="30"/>
        <v>1.7456352499999994</v>
      </c>
      <c r="H32" s="187">
        <f t="shared" si="30"/>
        <v>0.25933516666666812</v>
      </c>
      <c r="I32" s="187">
        <f t="shared" si="30"/>
        <v>-3.1394669166666676</v>
      </c>
      <c r="J32" s="187">
        <f t="shared" si="30"/>
        <v>-0.11074683333333413</v>
      </c>
      <c r="K32" s="187">
        <f t="shared" si="30"/>
        <v>0.62205083333333322</v>
      </c>
      <c r="L32" s="187">
        <f t="shared" si="30"/>
        <v>-3.8211589166666671</v>
      </c>
      <c r="M32" s="187">
        <f t="shared" si="30"/>
        <v>-0.26717891666666665</v>
      </c>
    </row>
    <row r="33" spans="1:14" x14ac:dyDescent="0.15">
      <c r="A33" s="188" t="s">
        <v>16</v>
      </c>
      <c r="B33" s="189">
        <f>SUM(B21:B32)</f>
        <v>0</v>
      </c>
      <c r="C33" s="189">
        <f t="shared" ref="C33:M33" si="31">SUM(C21:C32)</f>
        <v>-1.2212453270876722E-15</v>
      </c>
      <c r="D33" s="189">
        <f t="shared" si="31"/>
        <v>0</v>
      </c>
      <c r="E33" s="189">
        <f t="shared" si="31"/>
        <v>0</v>
      </c>
      <c r="F33" s="189">
        <f t="shared" si="31"/>
        <v>-1.1102230246251565E-15</v>
      </c>
      <c r="G33" s="189">
        <f t="shared" si="31"/>
        <v>-1.4210854715202004E-14</v>
      </c>
      <c r="H33" s="189">
        <f t="shared" si="31"/>
        <v>1.0658141036401503E-14</v>
      </c>
      <c r="I33" s="189">
        <f t="shared" si="31"/>
        <v>-8.8817841970012523E-15</v>
      </c>
      <c r="J33" s="189">
        <f t="shared" si="31"/>
        <v>-7.5495165674510645E-15</v>
      </c>
      <c r="K33" s="189">
        <f t="shared" si="31"/>
        <v>0</v>
      </c>
      <c r="L33" s="189">
        <f t="shared" si="31"/>
        <v>-3.9968028886505635E-15</v>
      </c>
      <c r="M33" s="189">
        <f t="shared" si="31"/>
        <v>0</v>
      </c>
    </row>
    <row r="34" spans="1:14" x14ac:dyDescent="0.15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4" x14ac:dyDescent="0.15">
      <c r="A35" s="188"/>
      <c r="B35" s="312" t="s">
        <v>39</v>
      </c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</row>
    <row r="36" spans="1:14" x14ac:dyDescent="0.15">
      <c r="A36" s="188" t="s">
        <v>21</v>
      </c>
      <c r="B36" s="190" t="s">
        <v>7</v>
      </c>
      <c r="C36" s="190" t="s">
        <v>8</v>
      </c>
      <c r="D36" s="190" t="s">
        <v>9</v>
      </c>
      <c r="E36" s="190" t="s">
        <v>10</v>
      </c>
      <c r="F36" s="190" t="s">
        <v>11</v>
      </c>
      <c r="G36" s="181" t="s">
        <v>19</v>
      </c>
      <c r="H36" s="191" t="s">
        <v>12</v>
      </c>
      <c r="I36" s="181" t="s">
        <v>13</v>
      </c>
      <c r="J36" s="181" t="s">
        <v>24</v>
      </c>
      <c r="K36" s="181" t="s">
        <v>14</v>
      </c>
      <c r="L36" s="181" t="s">
        <v>17</v>
      </c>
      <c r="M36" s="181" t="s">
        <v>15</v>
      </c>
    </row>
    <row r="37" spans="1:14" x14ac:dyDescent="0.15">
      <c r="A37" s="186">
        <f>A21</f>
        <v>42644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4" x14ac:dyDescent="0.15">
      <c r="A38" s="186">
        <f t="shared" ref="A38:A48" si="32">A22</f>
        <v>42675</v>
      </c>
      <c r="B38" s="187">
        <f>B4-B3</f>
        <v>-3.8492999999999888E-2</v>
      </c>
      <c r="C38" s="187">
        <f t="shared" ref="C38:M38" si="33">C4-C3</f>
        <v>0.10713800000000007</v>
      </c>
      <c r="D38" s="187">
        <f t="shared" si="33"/>
        <v>2.7533129999999986</v>
      </c>
      <c r="E38" s="187">
        <f t="shared" si="33"/>
        <v>-5.1950869999999991</v>
      </c>
      <c r="F38" s="187">
        <f t="shared" si="33"/>
        <v>0.49631000000000003</v>
      </c>
      <c r="G38" s="187">
        <f t="shared" si="33"/>
        <v>3.5930970000000002</v>
      </c>
      <c r="H38" s="187">
        <f t="shared" si="33"/>
        <v>1.6271719999999998</v>
      </c>
      <c r="I38" s="187">
        <f t="shared" si="33"/>
        <v>0.89945599999999981</v>
      </c>
      <c r="J38" s="187">
        <f t="shared" si="33"/>
        <v>-5.6397999999999726E-2</v>
      </c>
      <c r="K38" s="187">
        <f t="shared" si="33"/>
        <v>-1.3636240000000002</v>
      </c>
      <c r="L38" s="187">
        <f t="shared" si="33"/>
        <v>2.1526550000000002</v>
      </c>
      <c r="M38" s="187">
        <f t="shared" si="33"/>
        <v>4.7798000000000007E-2</v>
      </c>
      <c r="N38" s="20"/>
    </row>
    <row r="39" spans="1:14" x14ac:dyDescent="0.15">
      <c r="A39" s="186">
        <f t="shared" si="32"/>
        <v>42705</v>
      </c>
      <c r="B39" s="187">
        <f t="shared" ref="B39:M48" si="34">B5-B4</f>
        <v>0.31023000000000001</v>
      </c>
      <c r="C39" s="187">
        <f t="shared" si="34"/>
        <v>-0.20854100000000003</v>
      </c>
      <c r="D39" s="187">
        <f t="shared" si="34"/>
        <v>-2.8810169999999999</v>
      </c>
      <c r="E39" s="187">
        <f t="shared" si="34"/>
        <v>6.1060919999999985</v>
      </c>
      <c r="F39" s="187">
        <f t="shared" si="34"/>
        <v>-0.57783899999999999</v>
      </c>
      <c r="G39" s="187">
        <f t="shared" si="34"/>
        <v>-1.7752949999999998</v>
      </c>
      <c r="H39" s="187">
        <f t="shared" si="34"/>
        <v>-1.7707290000000011</v>
      </c>
      <c r="I39" s="187">
        <f t="shared" si="34"/>
        <v>-0.8598170000000005</v>
      </c>
      <c r="J39" s="187">
        <f t="shared" si="34"/>
        <v>-0.46842899999999998</v>
      </c>
      <c r="K39" s="187">
        <f t="shared" si="34"/>
        <v>1.506542</v>
      </c>
      <c r="L39" s="187">
        <f t="shared" si="34"/>
        <v>0.90619700000000059</v>
      </c>
      <c r="M39" s="187">
        <f t="shared" si="34"/>
        <v>-0.10780800000000001</v>
      </c>
      <c r="N39" s="20"/>
    </row>
    <row r="40" spans="1:14" x14ac:dyDescent="0.15">
      <c r="A40" s="186">
        <f t="shared" si="32"/>
        <v>42736</v>
      </c>
      <c r="B40" s="187">
        <f t="shared" si="34"/>
        <v>0.9126240000000001</v>
      </c>
      <c r="C40" s="187">
        <f t="shared" si="34"/>
        <v>2.0139999999999603E-3</v>
      </c>
      <c r="D40" s="187">
        <f t="shared" si="34"/>
        <v>15.756612000000004</v>
      </c>
      <c r="E40" s="187">
        <f t="shared" si="34"/>
        <v>7.6500630000000029</v>
      </c>
      <c r="F40" s="187">
        <f t="shared" si="34"/>
        <v>0.32462299999999999</v>
      </c>
      <c r="G40" s="187">
        <f t="shared" si="34"/>
        <v>8.8543619999999983</v>
      </c>
      <c r="H40" s="187">
        <f t="shared" si="34"/>
        <v>-4.389270999999999</v>
      </c>
      <c r="I40" s="187">
        <f t="shared" si="34"/>
        <v>1.6343860000000001</v>
      </c>
      <c r="J40" s="187">
        <f t="shared" si="34"/>
        <v>-0.64894600000000002</v>
      </c>
      <c r="K40" s="187">
        <f t="shared" si="34"/>
        <v>-0.75190200000000007</v>
      </c>
      <c r="L40" s="187">
        <f t="shared" si="34"/>
        <v>3.0524709999999988</v>
      </c>
      <c r="M40" s="187">
        <f t="shared" si="34"/>
        <v>8.1489000000000034E-2</v>
      </c>
      <c r="N40" s="20"/>
    </row>
    <row r="41" spans="1:14" x14ac:dyDescent="0.15">
      <c r="A41" s="186">
        <f t="shared" si="32"/>
        <v>42767</v>
      </c>
      <c r="B41" s="187">
        <f t="shared" si="34"/>
        <v>0.23787599999999998</v>
      </c>
      <c r="C41" s="187">
        <f t="shared" si="34"/>
        <v>-8.2685999999999982E-2</v>
      </c>
      <c r="D41" s="187">
        <f t="shared" si="34"/>
        <v>0.86405399999999588</v>
      </c>
      <c r="E41" s="187">
        <f t="shared" si="34"/>
        <v>-7.8547030000000007</v>
      </c>
      <c r="F41" s="187">
        <f t="shared" si="34"/>
        <v>1.050745</v>
      </c>
      <c r="G41" s="187">
        <f t="shared" si="34"/>
        <v>-1.716543999999999</v>
      </c>
      <c r="H41" s="187">
        <f t="shared" si="34"/>
        <v>-1.7872390000000005</v>
      </c>
      <c r="I41" s="187">
        <f t="shared" si="34"/>
        <v>4.1145909999999999</v>
      </c>
      <c r="J41" s="187">
        <f t="shared" si="34"/>
        <v>1.7119420000000005</v>
      </c>
      <c r="K41" s="187">
        <f t="shared" si="34"/>
        <v>-0.70635300000000001</v>
      </c>
      <c r="L41" s="187">
        <f t="shared" si="34"/>
        <v>6.2952429999999993</v>
      </c>
      <c r="M41" s="187">
        <f t="shared" si="34"/>
        <v>-5.825600000000003E-2</v>
      </c>
      <c r="N41" s="20"/>
    </row>
    <row r="42" spans="1:14" x14ac:dyDescent="0.15">
      <c r="A42" s="186">
        <f t="shared" si="32"/>
        <v>42795</v>
      </c>
      <c r="B42" s="187">
        <f t="shared" si="34"/>
        <v>3.5244919999999995</v>
      </c>
      <c r="C42" s="187">
        <f t="shared" si="34"/>
        <v>0.16759199999999996</v>
      </c>
      <c r="D42" s="187">
        <f t="shared" si="34"/>
        <v>-3.8185280000000006</v>
      </c>
      <c r="E42" s="187">
        <f t="shared" si="34"/>
        <v>2.0668590000000009</v>
      </c>
      <c r="F42" s="187">
        <f t="shared" si="34"/>
        <v>-0.95824700000000007</v>
      </c>
      <c r="G42" s="187">
        <f t="shared" si="34"/>
        <v>3.5561089999999993</v>
      </c>
      <c r="H42" s="187">
        <f t="shared" si="34"/>
        <v>0.47213100000000008</v>
      </c>
      <c r="I42" s="187">
        <f t="shared" si="34"/>
        <v>4.0018250000000002</v>
      </c>
      <c r="J42" s="187">
        <f t="shared" si="34"/>
        <v>-0.10859100000000055</v>
      </c>
      <c r="K42" s="187">
        <f t="shared" si="34"/>
        <v>0.88892800000000016</v>
      </c>
      <c r="L42" s="187">
        <f t="shared" si="34"/>
        <v>-14.857633999999999</v>
      </c>
      <c r="M42" s="187">
        <f t="shared" si="34"/>
        <v>6.926199999999999E-2</v>
      </c>
      <c r="N42" s="20"/>
    </row>
    <row r="43" spans="1:14" x14ac:dyDescent="0.15">
      <c r="A43" s="186">
        <f t="shared" si="32"/>
        <v>42826</v>
      </c>
      <c r="B43" s="187">
        <f t="shared" si="34"/>
        <v>-3.8253399999999997</v>
      </c>
      <c r="C43" s="187">
        <f t="shared" si="34"/>
        <v>-0.10924199999999995</v>
      </c>
      <c r="D43" s="187">
        <f t="shared" si="34"/>
        <v>-9.8087879999999998</v>
      </c>
      <c r="E43" s="187">
        <f t="shared" si="34"/>
        <v>-0.8171740000000014</v>
      </c>
      <c r="F43" s="187">
        <f t="shared" si="34"/>
        <v>0.30030400000000002</v>
      </c>
      <c r="G43" s="187">
        <f t="shared" si="34"/>
        <v>-2.6722809999999981</v>
      </c>
      <c r="H43" s="187">
        <f t="shared" si="34"/>
        <v>2.9661289999999996</v>
      </c>
      <c r="I43" s="187">
        <f t="shared" si="34"/>
        <v>-10.928988</v>
      </c>
      <c r="J43" s="187">
        <f t="shared" si="34"/>
        <v>-1.1645849999999998</v>
      </c>
      <c r="K43" s="187">
        <f t="shared" si="34"/>
        <v>1.251312</v>
      </c>
      <c r="L43" s="187">
        <f t="shared" si="34"/>
        <v>3.3872230000000001</v>
      </c>
      <c r="M43" s="187">
        <f t="shared" si="34"/>
        <v>-0.36501699999999998</v>
      </c>
      <c r="N43" s="20"/>
    </row>
    <row r="44" spans="1:14" x14ac:dyDescent="0.15">
      <c r="A44" s="186">
        <f t="shared" si="32"/>
        <v>42856</v>
      </c>
      <c r="B44" s="187">
        <f t="shared" si="34"/>
        <v>-0.20566299999999993</v>
      </c>
      <c r="C44" s="187">
        <f t="shared" si="34"/>
        <v>0.21014500000000003</v>
      </c>
      <c r="D44" s="187">
        <f t="shared" si="34"/>
        <v>-10.525551999999998</v>
      </c>
      <c r="E44" s="187">
        <f t="shared" si="34"/>
        <v>-3.062774000000001</v>
      </c>
      <c r="F44" s="187">
        <f t="shared" si="34"/>
        <v>0.30620199999999997</v>
      </c>
      <c r="G44" s="187">
        <f t="shared" si="34"/>
        <v>0.1185299999999998</v>
      </c>
      <c r="H44" s="187">
        <f t="shared" si="34"/>
        <v>4.2873419999999998</v>
      </c>
      <c r="I44" s="187">
        <f t="shared" si="34"/>
        <v>9.7531539999999985</v>
      </c>
      <c r="J44" s="187">
        <f t="shared" si="34"/>
        <v>1.3708640000000001</v>
      </c>
      <c r="K44" s="187">
        <f t="shared" si="34"/>
        <v>-1.1659549999999999</v>
      </c>
      <c r="L44" s="187">
        <f t="shared" si="34"/>
        <v>0.85859899999999989</v>
      </c>
      <c r="M44" s="187">
        <f t="shared" si="34"/>
        <v>-0.155357</v>
      </c>
      <c r="N44" s="20"/>
    </row>
    <row r="45" spans="1:14" x14ac:dyDescent="0.15">
      <c r="A45" s="186">
        <f t="shared" si="32"/>
        <v>42887</v>
      </c>
      <c r="B45" s="187">
        <f t="shared" si="34"/>
        <v>0.93331300000000006</v>
      </c>
      <c r="C45" s="187">
        <f t="shared" si="34"/>
        <v>-8.3627000000000007E-2</v>
      </c>
      <c r="D45" s="187">
        <f t="shared" si="34"/>
        <v>-3.0203170000000021</v>
      </c>
      <c r="E45" s="187">
        <f t="shared" si="34"/>
        <v>-0.24491099999999832</v>
      </c>
      <c r="F45" s="187">
        <f t="shared" si="34"/>
        <v>-0.18538600000000005</v>
      </c>
      <c r="G45" s="187">
        <f t="shared" si="34"/>
        <v>-3.3381870000000013</v>
      </c>
      <c r="H45" s="187">
        <f t="shared" si="34"/>
        <v>-1.605423</v>
      </c>
      <c r="I45" s="187">
        <f t="shared" si="34"/>
        <v>1.767354000000001</v>
      </c>
      <c r="J45" s="187">
        <f t="shared" si="34"/>
        <v>-2.0024190000000002</v>
      </c>
      <c r="K45" s="187">
        <f t="shared" si="34"/>
        <v>-0.19825700000000013</v>
      </c>
      <c r="L45" s="187">
        <f t="shared" si="34"/>
        <v>-2.4738369999999996</v>
      </c>
      <c r="M45" s="187">
        <f t="shared" si="34"/>
        <v>-9.8250000000000004E-3</v>
      </c>
      <c r="N45" s="20"/>
    </row>
    <row r="46" spans="1:14" x14ac:dyDescent="0.15">
      <c r="A46" s="186">
        <f t="shared" si="32"/>
        <v>42917</v>
      </c>
      <c r="B46" s="187">
        <f t="shared" si="34"/>
        <v>-1.5157850000000002</v>
      </c>
      <c r="C46" s="187">
        <f t="shared" si="34"/>
        <v>-4.1434000000000082E-2</v>
      </c>
      <c r="D46" s="187">
        <f t="shared" si="34"/>
        <v>-4.2829249999999988</v>
      </c>
      <c r="E46" s="187">
        <f t="shared" si="34"/>
        <v>2.7954779999999992</v>
      </c>
      <c r="F46" s="187">
        <f t="shared" si="34"/>
        <v>-0.38518799999999997</v>
      </c>
      <c r="G46" s="187">
        <f t="shared" si="34"/>
        <v>4.5394180000000013</v>
      </c>
      <c r="H46" s="187">
        <f t="shared" si="34"/>
        <v>-9.0634999999998911E-2</v>
      </c>
      <c r="I46" s="187">
        <f t="shared" si="34"/>
        <v>-9.4780920000000002</v>
      </c>
      <c r="J46" s="187">
        <f t="shared" si="34"/>
        <v>-0.18353699999999984</v>
      </c>
      <c r="K46" s="187">
        <f t="shared" si="34"/>
        <v>0.97202100000000002</v>
      </c>
      <c r="L46" s="187">
        <f t="shared" si="34"/>
        <v>-0.3293569999999999</v>
      </c>
      <c r="M46" s="187">
        <f t="shared" si="34"/>
        <v>-1.6450000000000006E-3</v>
      </c>
      <c r="N46" s="20"/>
    </row>
    <row r="47" spans="1:14" x14ac:dyDescent="0.15">
      <c r="A47" s="186">
        <f t="shared" si="32"/>
        <v>42948</v>
      </c>
      <c r="B47" s="187">
        <f t="shared" si="34"/>
        <v>-0.24793399999999988</v>
      </c>
      <c r="C47" s="187">
        <f t="shared" si="34"/>
        <v>4.5679000000000025E-2</v>
      </c>
      <c r="D47" s="187">
        <f t="shared" si="34"/>
        <v>2.193563000000001</v>
      </c>
      <c r="E47" s="187">
        <f t="shared" si="34"/>
        <v>1.2967699999999986</v>
      </c>
      <c r="F47" s="187">
        <f t="shared" si="34"/>
        <v>-0.21921399999999996</v>
      </c>
      <c r="G47" s="187">
        <f t="shared" si="34"/>
        <v>-3.1539029999999997</v>
      </c>
      <c r="H47" s="187">
        <f t="shared" si="34"/>
        <v>-3.5562260000000006</v>
      </c>
      <c r="I47" s="187">
        <f t="shared" si="34"/>
        <v>-1.155017</v>
      </c>
      <c r="J47" s="187">
        <f t="shared" si="34"/>
        <v>2.1341619999999999</v>
      </c>
      <c r="K47" s="187">
        <f t="shared" si="34"/>
        <v>4.4969999999997512E-3</v>
      </c>
      <c r="L47" s="187">
        <f t="shared" si="34"/>
        <v>1.0091029999999996</v>
      </c>
      <c r="M47" s="187">
        <f t="shared" si="34"/>
        <v>-2.0389999999999991E-3</v>
      </c>
      <c r="N47" s="20"/>
    </row>
    <row r="48" spans="1:14" x14ac:dyDescent="0.15">
      <c r="A48" s="186">
        <f t="shared" si="32"/>
        <v>42979</v>
      </c>
      <c r="B48" s="187">
        <f t="shared" si="34"/>
        <v>-0.17883899999999997</v>
      </c>
      <c r="C48" s="187">
        <f t="shared" si="34"/>
        <v>-5.3989999999999982E-2</v>
      </c>
      <c r="D48" s="187">
        <f t="shared" si="34"/>
        <v>26.076985999999998</v>
      </c>
      <c r="E48" s="187">
        <f t="shared" si="34"/>
        <v>-4.9279279999999979</v>
      </c>
      <c r="F48" s="187">
        <f t="shared" si="34"/>
        <v>0.12506399999999995</v>
      </c>
      <c r="G48" s="187">
        <f t="shared" si="34"/>
        <v>1.4564909999999998</v>
      </c>
      <c r="H48" s="187">
        <f t="shared" si="34"/>
        <v>2.2177830000000007</v>
      </c>
      <c r="I48" s="187">
        <f t="shared" si="34"/>
        <v>0.16290400000000016</v>
      </c>
      <c r="J48" s="187">
        <f t="shared" si="34"/>
        <v>-0.99751400000000023</v>
      </c>
      <c r="K48" s="187">
        <f t="shared" si="34"/>
        <v>-9.2419999999999725E-3</v>
      </c>
      <c r="L48" s="187">
        <f t="shared" si="34"/>
        <v>-2.1398930000000003</v>
      </c>
      <c r="M48" s="187">
        <f t="shared" si="34"/>
        <v>-4.259999999999993E-4</v>
      </c>
      <c r="N48" s="20"/>
    </row>
    <row r="49" spans="1:29" x14ac:dyDescent="0.15">
      <c r="A49" s="15" t="s">
        <v>16</v>
      </c>
      <c r="B49" s="17">
        <f>SUM(B37:B48)</f>
        <v>-9.351900000000013E-2</v>
      </c>
      <c r="H49" s="19"/>
      <c r="I49" s="19"/>
      <c r="J49" s="19"/>
      <c r="L49" s="21"/>
      <c r="M49" s="20"/>
      <c r="N49" s="20"/>
    </row>
    <row r="50" spans="1:29" x14ac:dyDescent="0.15">
      <c r="H50" s="19"/>
      <c r="I50" s="19"/>
      <c r="J50" s="19"/>
      <c r="L50" s="21"/>
      <c r="M50" s="20"/>
      <c r="N50" s="20"/>
    </row>
    <row r="51" spans="1:29" x14ac:dyDescent="0.15">
      <c r="H51" s="19"/>
      <c r="I51" s="19"/>
      <c r="J51" s="19"/>
      <c r="L51" s="21"/>
    </row>
    <row r="52" spans="1:29" x14ac:dyDescent="0.15">
      <c r="H52" s="19"/>
      <c r="I52" s="19"/>
      <c r="J52" s="19"/>
    </row>
    <row r="53" spans="1:29" x14ac:dyDescent="0.15">
      <c r="A53" s="25" t="s">
        <v>41</v>
      </c>
    </row>
    <row r="54" spans="1:29" x14ac:dyDescent="0.15">
      <c r="A54" s="1" t="s">
        <v>31</v>
      </c>
      <c r="B54" s="6" t="s">
        <v>7</v>
      </c>
      <c r="C54" s="6" t="s">
        <v>8</v>
      </c>
      <c r="D54" s="6" t="s">
        <v>9</v>
      </c>
      <c r="E54" s="6" t="s">
        <v>10</v>
      </c>
      <c r="F54" s="6" t="s">
        <v>11</v>
      </c>
      <c r="G54" s="4" t="s">
        <v>19</v>
      </c>
      <c r="H54" s="2" t="s">
        <v>12</v>
      </c>
      <c r="I54" s="4" t="s">
        <v>13</v>
      </c>
      <c r="J54" s="4" t="s">
        <v>24</v>
      </c>
      <c r="K54" s="4" t="s">
        <v>14</v>
      </c>
      <c r="L54" s="4" t="s">
        <v>17</v>
      </c>
      <c r="M54" s="4" t="s">
        <v>15</v>
      </c>
      <c r="N54" s="4" t="s">
        <v>16</v>
      </c>
      <c r="P54" s="1" t="s">
        <v>42</v>
      </c>
      <c r="Q54" s="6" t="s">
        <v>7</v>
      </c>
      <c r="R54" s="6" t="s">
        <v>8</v>
      </c>
      <c r="S54" s="6" t="s">
        <v>9</v>
      </c>
      <c r="T54" s="6" t="s">
        <v>10</v>
      </c>
      <c r="U54" s="6" t="s">
        <v>11</v>
      </c>
      <c r="V54" s="4" t="s">
        <v>19</v>
      </c>
      <c r="W54" s="2" t="s">
        <v>12</v>
      </c>
      <c r="X54" s="4" t="s">
        <v>13</v>
      </c>
      <c r="Y54" s="4" t="s">
        <v>24</v>
      </c>
      <c r="Z54" s="4" t="s">
        <v>14</v>
      </c>
      <c r="AA54" s="4" t="s">
        <v>17</v>
      </c>
      <c r="AB54" s="4" t="s">
        <v>15</v>
      </c>
      <c r="AC54" s="4" t="s">
        <v>16</v>
      </c>
    </row>
    <row r="55" spans="1:29" x14ac:dyDescent="0.15">
      <c r="A55" s="181" t="str">
        <f>P55</f>
        <v>2016-10</v>
      </c>
      <c r="B55" s="235">
        <f>Q55/1024</f>
        <v>93.195310104288865</v>
      </c>
      <c r="C55" s="235">
        <f t="shared" ref="C55:C66" si="35">R55/1024</f>
        <v>123.51541463699903</v>
      </c>
      <c r="D55" s="235">
        <f t="shared" ref="D55:D66" si="36">S55/1024</f>
        <v>9.8438315157490237</v>
      </c>
      <c r="E55" s="235">
        <f t="shared" ref="E55:E66" si="37">T55/1024</f>
        <v>502.8562141479951</v>
      </c>
      <c r="F55" s="235">
        <f t="shared" ref="F55:F66" si="38">U55/1024</f>
        <v>0.38977731440809277</v>
      </c>
      <c r="G55" s="235">
        <f t="shared" ref="G55:G66" si="39">V55/1024</f>
        <v>344.24309054446695</v>
      </c>
      <c r="H55" s="235">
        <f t="shared" ref="H55:H66" si="40">W55/1024</f>
        <v>174.95232716249023</v>
      </c>
      <c r="I55" s="235">
        <f t="shared" ref="I55:I66" si="41">X55/1024</f>
        <v>19.794970988299596</v>
      </c>
      <c r="J55" s="235">
        <f t="shared" ref="J55:J66" si="42">Y55/1024</f>
        <v>116.89175137034863</v>
      </c>
      <c r="K55" s="235">
        <f t="shared" ref="K55:K66" si="43">Z55/1024</f>
        <v>12.888363273254981</v>
      </c>
      <c r="L55" s="235">
        <f t="shared" ref="L55:L66" si="44">AA55/1024</f>
        <v>32.222810414461428</v>
      </c>
      <c r="M55" s="235">
        <f t="shared" ref="M55:M66" si="45">AB55/1024</f>
        <v>0.50282060216977642</v>
      </c>
      <c r="N55" s="22">
        <f t="shared" ref="N55:N67" si="46">SUM(B55:M55)</f>
        <v>1431.2966820749318</v>
      </c>
      <c r="P55" s="4" t="str">
        <f>P3</f>
        <v>2016-10</v>
      </c>
      <c r="Q55" s="194">
        <v>95431.997546791798</v>
      </c>
      <c r="R55" s="194">
        <v>126479.784588287</v>
      </c>
      <c r="S55" s="194">
        <v>10080.083472127</v>
      </c>
      <c r="T55" s="194">
        <v>514924.76328754699</v>
      </c>
      <c r="U55" s="194">
        <v>399.13196995388699</v>
      </c>
      <c r="V55" s="194">
        <v>352504.92471753416</v>
      </c>
      <c r="W55" s="194">
        <v>179151.18301439</v>
      </c>
      <c r="X55" s="194">
        <v>20270.050292018786</v>
      </c>
      <c r="Y55" s="194">
        <v>119697.153403237</v>
      </c>
      <c r="Z55" s="194">
        <v>13197.683991813101</v>
      </c>
      <c r="AA55" s="194">
        <v>32996.157864408502</v>
      </c>
      <c r="AB55" s="194">
        <v>514.88829662185105</v>
      </c>
      <c r="AC55" s="7">
        <f t="shared" ref="AC55:AC66" si="47">SUM(Q55:AB55)</f>
        <v>1465647.8024447302</v>
      </c>
    </row>
    <row r="56" spans="1:29" x14ac:dyDescent="0.15">
      <c r="A56" s="181" t="str">
        <f t="shared" ref="A56:A66" si="48">P56</f>
        <v>2016-11</v>
      </c>
      <c r="B56" s="235">
        <f t="shared" ref="B56:B66" si="49">Q56/1024</f>
        <v>145.95142418250254</v>
      </c>
      <c r="C56" s="235">
        <f t="shared" si="35"/>
        <v>113.14951496143067</v>
      </c>
      <c r="D56" s="235">
        <f t="shared" si="36"/>
        <v>10.830076761541894</v>
      </c>
      <c r="E56" s="235">
        <f t="shared" si="37"/>
        <v>470.45664166113573</v>
      </c>
      <c r="F56" s="235">
        <f t="shared" si="38"/>
        <v>1.6783883635271191</v>
      </c>
      <c r="G56" s="235">
        <f t="shared" si="39"/>
        <v>246.39447162906603</v>
      </c>
      <c r="H56" s="235">
        <f t="shared" si="40"/>
        <v>296.99816478468847</v>
      </c>
      <c r="I56" s="235">
        <f t="shared" si="41"/>
        <v>26.667809383421567</v>
      </c>
      <c r="J56" s="235">
        <f t="shared" si="42"/>
        <v>165.93752187582422</v>
      </c>
      <c r="K56" s="235">
        <f t="shared" si="43"/>
        <v>9.0402689648369439</v>
      </c>
      <c r="L56" s="235">
        <f t="shared" si="44"/>
        <v>46.932784764488964</v>
      </c>
      <c r="M56" s="235">
        <f t="shared" si="45"/>
        <v>0.59370046248295605</v>
      </c>
      <c r="N56" s="22">
        <f t="shared" si="46"/>
        <v>1534.6307677949474</v>
      </c>
      <c r="P56" s="4" t="str">
        <f t="shared" ref="P56:P66" si="50">P4</f>
        <v>2016-11</v>
      </c>
      <c r="Q56" s="194">
        <v>149454.2583628826</v>
      </c>
      <c r="R56" s="194">
        <v>115865.103320505</v>
      </c>
      <c r="S56" s="194">
        <v>11089.9986038189</v>
      </c>
      <c r="T56" s="194">
        <v>481747.60106100299</v>
      </c>
      <c r="U56" s="194">
        <v>1718.6696842517699</v>
      </c>
      <c r="V56" s="194">
        <v>252307.93894816362</v>
      </c>
      <c r="W56" s="194">
        <v>304126.12073952099</v>
      </c>
      <c r="X56" s="194">
        <v>27307.836808623684</v>
      </c>
      <c r="Y56" s="194">
        <v>169920.022400844</v>
      </c>
      <c r="Z56" s="194">
        <v>9257.2354199930305</v>
      </c>
      <c r="AA56" s="194">
        <v>48059.1715988367</v>
      </c>
      <c r="AB56" s="194">
        <v>607.94927358254699</v>
      </c>
      <c r="AC56" s="7">
        <f t="shared" si="47"/>
        <v>1571461.9062220261</v>
      </c>
    </row>
    <row r="57" spans="1:29" x14ac:dyDescent="0.15">
      <c r="A57" s="181" t="str">
        <f t="shared" si="48"/>
        <v>2016-12</v>
      </c>
      <c r="B57" s="235">
        <f t="shared" si="49"/>
        <v>222.51513019109626</v>
      </c>
      <c r="C57" s="235">
        <f t="shared" si="35"/>
        <v>62.09423106950176</v>
      </c>
      <c r="D57" s="235">
        <f t="shared" si="36"/>
        <v>10.705869283395215</v>
      </c>
      <c r="E57" s="235">
        <f t="shared" si="37"/>
        <v>520.62522074586718</v>
      </c>
      <c r="F57" s="235">
        <f t="shared" si="38"/>
        <v>0.22996861918909375</v>
      </c>
      <c r="G57" s="235">
        <f t="shared" si="39"/>
        <v>414.45370602610188</v>
      </c>
      <c r="H57" s="235">
        <f t="shared" si="40"/>
        <v>233.99285468419825</v>
      </c>
      <c r="I57" s="235">
        <f t="shared" si="41"/>
        <v>34.783629891485283</v>
      </c>
      <c r="J57" s="235">
        <f t="shared" si="42"/>
        <v>160.98952952292871</v>
      </c>
      <c r="K57" s="235">
        <f t="shared" si="43"/>
        <v>6.4919633762055859</v>
      </c>
      <c r="L57" s="235">
        <f t="shared" si="44"/>
        <v>48.356117423468262</v>
      </c>
      <c r="M57" s="235">
        <f t="shared" si="45"/>
        <v>0.3668749792568633</v>
      </c>
      <c r="N57" s="22">
        <f t="shared" si="46"/>
        <v>1715.6050958126943</v>
      </c>
      <c r="P57" s="4" t="str">
        <f t="shared" si="50"/>
        <v>2016-12</v>
      </c>
      <c r="Q57" s="194">
        <v>227855.49331568257</v>
      </c>
      <c r="R57" s="194">
        <v>63584.492615169802</v>
      </c>
      <c r="S57" s="194">
        <v>10962.8101461967</v>
      </c>
      <c r="T57" s="194">
        <v>533120.22604376799</v>
      </c>
      <c r="U57" s="194">
        <v>235.487866049632</v>
      </c>
      <c r="V57" s="194">
        <v>424400.59497072833</v>
      </c>
      <c r="W57" s="194">
        <v>239608.68319661901</v>
      </c>
      <c r="X57" s="194">
        <v>35618.43700888093</v>
      </c>
      <c r="Y57" s="194">
        <v>164853.27823147899</v>
      </c>
      <c r="Z57" s="194">
        <v>6647.77049723452</v>
      </c>
      <c r="AA57" s="194">
        <v>49516.664241631501</v>
      </c>
      <c r="AB57" s="194">
        <v>375.67997875902802</v>
      </c>
      <c r="AC57" s="7">
        <f t="shared" si="47"/>
        <v>1756779.618112199</v>
      </c>
    </row>
    <row r="58" spans="1:29" x14ac:dyDescent="0.15">
      <c r="A58" s="181" t="str">
        <f t="shared" si="48"/>
        <v>2017-01</v>
      </c>
      <c r="B58" s="235">
        <f t="shared" si="49"/>
        <v>176.49862286270428</v>
      </c>
      <c r="C58" s="235">
        <f t="shared" si="35"/>
        <v>104.35221780360547</v>
      </c>
      <c r="D58" s="235">
        <f t="shared" si="36"/>
        <v>18.546564168661426</v>
      </c>
      <c r="E58" s="235">
        <f t="shared" si="37"/>
        <v>682.16742937481149</v>
      </c>
      <c r="F58" s="235">
        <f t="shared" si="38"/>
        <v>1.9069440380599121</v>
      </c>
      <c r="G58" s="235">
        <f t="shared" si="39"/>
        <v>338.14358799882581</v>
      </c>
      <c r="H58" s="235">
        <f t="shared" si="40"/>
        <v>124.83078898662988</v>
      </c>
      <c r="I58" s="235">
        <f t="shared" si="41"/>
        <v>38.076829040112862</v>
      </c>
      <c r="J58" s="235">
        <f t="shared" si="42"/>
        <v>91.004606503497556</v>
      </c>
      <c r="K58" s="235">
        <f t="shared" si="43"/>
        <v>10.223626083953613</v>
      </c>
      <c r="L58" s="235">
        <f t="shared" si="44"/>
        <v>70.864313394167681</v>
      </c>
      <c r="M58" s="235">
        <f t="shared" si="45"/>
        <v>0.5684308874060654</v>
      </c>
      <c r="N58" s="22">
        <f t="shared" si="46"/>
        <v>1657.1839611424361</v>
      </c>
      <c r="P58" s="4" t="str">
        <f t="shared" si="50"/>
        <v>2017-01</v>
      </c>
      <c r="Q58" s="194">
        <v>180734.58981140918</v>
      </c>
      <c r="R58" s="194">
        <v>106856.671030892</v>
      </c>
      <c r="S58" s="194">
        <v>18991.6817087093</v>
      </c>
      <c r="T58" s="194">
        <v>698539.44767980697</v>
      </c>
      <c r="U58" s="194">
        <v>1952.71069497335</v>
      </c>
      <c r="V58" s="194">
        <v>346259.03411079763</v>
      </c>
      <c r="W58" s="194">
        <v>127826.727922309</v>
      </c>
      <c r="X58" s="194">
        <v>38990.672937075571</v>
      </c>
      <c r="Y58" s="194">
        <v>93188.717059581497</v>
      </c>
      <c r="Z58" s="194">
        <v>10468.9931099685</v>
      </c>
      <c r="AA58" s="194">
        <v>72565.056915627705</v>
      </c>
      <c r="AB58" s="194">
        <v>582.07322870381097</v>
      </c>
      <c r="AC58" s="7">
        <f t="shared" si="47"/>
        <v>1696956.3762098546</v>
      </c>
    </row>
    <row r="59" spans="1:29" x14ac:dyDescent="0.15">
      <c r="A59" s="181" t="str">
        <f t="shared" si="48"/>
        <v>2017-02</v>
      </c>
      <c r="B59" s="235">
        <f t="shared" si="49"/>
        <v>179.46533574007461</v>
      </c>
      <c r="C59" s="235">
        <f t="shared" si="35"/>
        <v>121.28885529985938</v>
      </c>
      <c r="D59" s="235">
        <f t="shared" si="36"/>
        <v>15.918215710452344</v>
      </c>
      <c r="E59" s="235">
        <f t="shared" si="37"/>
        <v>555.61727016020893</v>
      </c>
      <c r="F59" s="235">
        <f t="shared" si="38"/>
        <v>3.4486673438586815</v>
      </c>
      <c r="G59" s="235">
        <f t="shared" si="39"/>
        <v>347.63582957381942</v>
      </c>
      <c r="H59" s="235">
        <f t="shared" si="40"/>
        <v>126.85217521800489</v>
      </c>
      <c r="I59" s="235">
        <f t="shared" si="41"/>
        <v>33.145915403518245</v>
      </c>
      <c r="J59" s="235">
        <f t="shared" si="42"/>
        <v>122.95831039825684</v>
      </c>
      <c r="K59" s="235">
        <f t="shared" si="43"/>
        <v>9.552558408924229</v>
      </c>
      <c r="L59" s="235">
        <f t="shared" si="44"/>
        <v>65.043431678471194</v>
      </c>
      <c r="M59" s="235">
        <f t="shared" si="45"/>
        <v>0.57392814438026074</v>
      </c>
      <c r="N59" s="22">
        <f t="shared" si="46"/>
        <v>1581.5004930798291</v>
      </c>
      <c r="P59" s="4" t="str">
        <f t="shared" si="50"/>
        <v>2017-02</v>
      </c>
      <c r="Q59" s="194">
        <v>183772.5037978364</v>
      </c>
      <c r="R59" s="194">
        <v>124199.787827056</v>
      </c>
      <c r="S59" s="194">
        <v>16300.2528875032</v>
      </c>
      <c r="T59" s="194">
        <v>568952.08464405395</v>
      </c>
      <c r="U59" s="194">
        <v>3531.4353601112898</v>
      </c>
      <c r="V59" s="194">
        <v>355979.08948359109</v>
      </c>
      <c r="W59" s="194">
        <v>129896.62742323701</v>
      </c>
      <c r="X59" s="194">
        <v>33941.417373202683</v>
      </c>
      <c r="Y59" s="194">
        <v>125909.30984781501</v>
      </c>
      <c r="Z59" s="194">
        <v>9781.8198107384105</v>
      </c>
      <c r="AA59" s="194">
        <v>66604.474038754503</v>
      </c>
      <c r="AB59" s="194">
        <v>587.702419845387</v>
      </c>
      <c r="AC59" s="7">
        <f t="shared" si="47"/>
        <v>1619456.504913745</v>
      </c>
    </row>
    <row r="60" spans="1:29" x14ac:dyDescent="0.15">
      <c r="A60" s="181" t="str">
        <f t="shared" si="48"/>
        <v>2017-03</v>
      </c>
      <c r="B60" s="235">
        <f t="shared" si="49"/>
        <v>161.05951778619396</v>
      </c>
      <c r="C60" s="235">
        <f t="shared" si="35"/>
        <v>125.2364048106123</v>
      </c>
      <c r="D60" s="235">
        <f t="shared" si="36"/>
        <v>16.122112952490138</v>
      </c>
      <c r="E60" s="235">
        <f t="shared" si="37"/>
        <v>488.46800269296386</v>
      </c>
      <c r="F60" s="235">
        <f t="shared" si="38"/>
        <v>0.20762657796603809</v>
      </c>
      <c r="G60" s="235">
        <f t="shared" si="39"/>
        <v>405.11661923949413</v>
      </c>
      <c r="H60" s="235">
        <f t="shared" si="40"/>
        <v>98.818518407801761</v>
      </c>
      <c r="I60" s="235">
        <f t="shared" si="41"/>
        <v>34.324472756668833</v>
      </c>
      <c r="J60" s="235">
        <f t="shared" si="42"/>
        <v>135.23752010860449</v>
      </c>
      <c r="K60" s="235">
        <f t="shared" si="43"/>
        <v>12.844305012108789</v>
      </c>
      <c r="L60" s="235">
        <f t="shared" si="44"/>
        <v>10.213200947997363</v>
      </c>
      <c r="M60" s="235">
        <f t="shared" si="45"/>
        <v>0.58189967236648921</v>
      </c>
      <c r="N60" s="22">
        <f t="shared" si="46"/>
        <v>1488.2302009652683</v>
      </c>
      <c r="P60" s="4" t="str">
        <f t="shared" si="50"/>
        <v>2017-03</v>
      </c>
      <c r="Q60" s="194">
        <v>164924.94621306262</v>
      </c>
      <c r="R60" s="194">
        <v>128242.07852606699</v>
      </c>
      <c r="S60" s="194">
        <v>16509.043663349901</v>
      </c>
      <c r="T60" s="194">
        <v>500191.234757595</v>
      </c>
      <c r="U60" s="194">
        <v>212.609615837223</v>
      </c>
      <c r="V60" s="194">
        <v>414839.41810124199</v>
      </c>
      <c r="W60" s="194">
        <v>101190.162849589</v>
      </c>
      <c r="X60" s="194">
        <v>35148.260102828885</v>
      </c>
      <c r="Y60" s="194">
        <v>138483.22059121099</v>
      </c>
      <c r="Z60" s="194">
        <v>13152.5683323994</v>
      </c>
      <c r="AA60" s="194">
        <v>10458.3177707493</v>
      </c>
      <c r="AB60" s="194">
        <v>595.86526450328495</v>
      </c>
      <c r="AC60" s="7">
        <f t="shared" si="47"/>
        <v>1523947.7257884347</v>
      </c>
    </row>
    <row r="61" spans="1:29" x14ac:dyDescent="0.15">
      <c r="A61" s="181" t="str">
        <f t="shared" si="48"/>
        <v>2017-04</v>
      </c>
      <c r="B61" s="235">
        <f t="shared" si="49"/>
        <v>298.39871903590665</v>
      </c>
      <c r="C61" s="235">
        <f t="shared" si="35"/>
        <v>169.76342624747753</v>
      </c>
      <c r="D61" s="235">
        <f t="shared" si="36"/>
        <v>12.385393364756055</v>
      </c>
      <c r="E61" s="235">
        <f t="shared" si="37"/>
        <v>445.15483778182715</v>
      </c>
      <c r="F61" s="235">
        <f t="shared" si="38"/>
        <v>2.8788272845613379</v>
      </c>
      <c r="G61" s="235">
        <f t="shared" si="39"/>
        <v>454.5762870663159</v>
      </c>
      <c r="H61" s="235">
        <f t="shared" si="40"/>
        <v>155.98441358718947</v>
      </c>
      <c r="I61" s="235">
        <f t="shared" si="41"/>
        <v>30.628123949968494</v>
      </c>
      <c r="J61" s="235">
        <f t="shared" si="42"/>
        <v>120.26914187321289</v>
      </c>
      <c r="K61" s="235">
        <f t="shared" si="43"/>
        <v>10.229301897415821</v>
      </c>
      <c r="L61" s="235">
        <f t="shared" si="44"/>
        <v>47.734421326086618</v>
      </c>
      <c r="M61" s="235">
        <f t="shared" si="45"/>
        <v>0.55013576277997267</v>
      </c>
      <c r="N61" s="22">
        <f t="shared" si="46"/>
        <v>1748.553029177498</v>
      </c>
      <c r="P61" s="4" t="str">
        <f t="shared" si="50"/>
        <v>2017-04</v>
      </c>
      <c r="Q61" s="194">
        <v>305560.28829276841</v>
      </c>
      <c r="R61" s="194">
        <v>173837.74847741699</v>
      </c>
      <c r="S61" s="194">
        <v>12682.642805510201</v>
      </c>
      <c r="T61" s="194">
        <v>455838.55388859101</v>
      </c>
      <c r="U61" s="194">
        <v>2947.91913939081</v>
      </c>
      <c r="V61" s="194">
        <v>465486.11795590748</v>
      </c>
      <c r="W61" s="194">
        <v>159728.03951328201</v>
      </c>
      <c r="X61" s="194">
        <v>31363.198924767737</v>
      </c>
      <c r="Y61" s="194">
        <v>123155.60127817</v>
      </c>
      <c r="Z61" s="194">
        <v>10474.805142953801</v>
      </c>
      <c r="AA61" s="194">
        <v>48880.047437912697</v>
      </c>
      <c r="AB61" s="194">
        <v>563.33902108669201</v>
      </c>
      <c r="AC61" s="7">
        <f t="shared" si="47"/>
        <v>1790518.301877758</v>
      </c>
    </row>
    <row r="62" spans="1:29" x14ac:dyDescent="0.15">
      <c r="A62" s="181" t="str">
        <f t="shared" si="48"/>
        <v>2017-05</v>
      </c>
      <c r="B62" s="235">
        <f t="shared" si="49"/>
        <v>210.99631612996819</v>
      </c>
      <c r="C62" s="235">
        <f t="shared" si="35"/>
        <v>136.25042709652735</v>
      </c>
      <c r="D62" s="235">
        <f t="shared" si="36"/>
        <v>9.4858035171391695</v>
      </c>
      <c r="E62" s="235">
        <f t="shared" si="37"/>
        <v>383.47847029967483</v>
      </c>
      <c r="F62" s="235">
        <f t="shared" si="38"/>
        <v>3.9309977928323829</v>
      </c>
      <c r="G62" s="235">
        <f t="shared" si="39"/>
        <v>340.65787160473997</v>
      </c>
      <c r="H62" s="235">
        <f t="shared" si="40"/>
        <v>228.09304038869629</v>
      </c>
      <c r="I62" s="235">
        <f t="shared" si="41"/>
        <v>60.754554431669014</v>
      </c>
      <c r="J62" s="235">
        <f t="shared" si="42"/>
        <v>146.67781271248927</v>
      </c>
      <c r="K62" s="235">
        <f t="shared" si="43"/>
        <v>18.024349815276953</v>
      </c>
      <c r="L62" s="235">
        <f t="shared" si="44"/>
        <v>41.54380796441631</v>
      </c>
      <c r="M62" s="235">
        <f t="shared" si="45"/>
        <v>0.50461577911755662</v>
      </c>
      <c r="N62" s="22">
        <f t="shared" si="46"/>
        <v>1580.3980675325474</v>
      </c>
      <c r="P62" s="4" t="str">
        <f t="shared" si="50"/>
        <v>2017-05</v>
      </c>
      <c r="Q62" s="194">
        <v>216060.22771708743</v>
      </c>
      <c r="R62" s="194">
        <v>139520.437346844</v>
      </c>
      <c r="S62" s="194">
        <v>9713.4628015505095</v>
      </c>
      <c r="T62" s="194">
        <v>392681.95358686702</v>
      </c>
      <c r="U62" s="194">
        <v>4025.3417398603601</v>
      </c>
      <c r="V62" s="194">
        <v>348833.66052325373</v>
      </c>
      <c r="W62" s="194">
        <v>233567.27335802501</v>
      </c>
      <c r="X62" s="194">
        <v>62212.66373802907</v>
      </c>
      <c r="Y62" s="194">
        <v>150198.08021758901</v>
      </c>
      <c r="Z62" s="194">
        <v>18456.934210843599</v>
      </c>
      <c r="AA62" s="194">
        <v>42540.859355562301</v>
      </c>
      <c r="AB62" s="194">
        <v>516.72655781637798</v>
      </c>
      <c r="AC62" s="7">
        <f t="shared" si="47"/>
        <v>1618327.6211533286</v>
      </c>
    </row>
    <row r="63" spans="1:29" x14ac:dyDescent="0.15">
      <c r="A63" s="181" t="str">
        <f t="shared" si="48"/>
        <v>2017-06</v>
      </c>
      <c r="B63" s="235">
        <f t="shared" si="49"/>
        <v>399.81900715988075</v>
      </c>
      <c r="C63" s="235">
        <f t="shared" si="35"/>
        <v>137.16312694572267</v>
      </c>
      <c r="D63" s="235">
        <f t="shared" si="36"/>
        <v>10.642919805225489</v>
      </c>
      <c r="E63" s="235">
        <f t="shared" si="37"/>
        <v>415.92900383360842</v>
      </c>
      <c r="F63" s="235">
        <f t="shared" si="38"/>
        <v>3.1395355448257716</v>
      </c>
      <c r="G63" s="235">
        <f t="shared" si="39"/>
        <v>257.12270925881023</v>
      </c>
      <c r="H63" s="235">
        <f t="shared" si="40"/>
        <v>248.98333366953321</v>
      </c>
      <c r="I63" s="235">
        <f t="shared" si="41"/>
        <v>24.21779187136957</v>
      </c>
      <c r="J63" s="235">
        <f t="shared" si="42"/>
        <v>83.712354614543941</v>
      </c>
      <c r="K63" s="235">
        <f t="shared" si="43"/>
        <v>17.163056493270997</v>
      </c>
      <c r="L63" s="235">
        <f t="shared" si="44"/>
        <v>40.302731048145603</v>
      </c>
      <c r="M63" s="235">
        <f t="shared" si="45"/>
        <v>0.41420249780549023</v>
      </c>
      <c r="N63" s="22">
        <f t="shared" si="46"/>
        <v>1638.6097727427425</v>
      </c>
      <c r="P63" s="4" t="str">
        <f t="shared" si="50"/>
        <v>2017-06</v>
      </c>
      <c r="Q63" s="194">
        <v>409414.66333171789</v>
      </c>
      <c r="R63" s="194">
        <v>140455.04199242001</v>
      </c>
      <c r="S63" s="194">
        <v>10898.349880550901</v>
      </c>
      <c r="T63" s="194">
        <v>425911.29992561502</v>
      </c>
      <c r="U63" s="194">
        <v>3214.8843979015901</v>
      </c>
      <c r="V63" s="194">
        <v>263293.65428102168</v>
      </c>
      <c r="W63" s="194">
        <v>254958.93367760201</v>
      </c>
      <c r="X63" s="194">
        <v>24799.01887628244</v>
      </c>
      <c r="Y63" s="194">
        <v>85721.451125292995</v>
      </c>
      <c r="Z63" s="194">
        <v>17574.969849109501</v>
      </c>
      <c r="AA63" s="194">
        <v>41269.996593301097</v>
      </c>
      <c r="AB63" s="194">
        <v>424.143357752822</v>
      </c>
      <c r="AC63" s="7">
        <f t="shared" si="47"/>
        <v>1677936.4072885683</v>
      </c>
    </row>
    <row r="64" spans="1:29" x14ac:dyDescent="0.15">
      <c r="A64" s="181" t="str">
        <f t="shared" si="48"/>
        <v>2017-07</v>
      </c>
      <c r="B64" s="235">
        <f t="shared" si="49"/>
        <v>204.79709811160041</v>
      </c>
      <c r="C64" s="235">
        <f t="shared" si="35"/>
        <v>110.40729176345997</v>
      </c>
      <c r="D64" s="235">
        <f t="shared" si="36"/>
        <v>10.819063412261036</v>
      </c>
      <c r="E64" s="235">
        <f t="shared" si="37"/>
        <v>424.84904413345606</v>
      </c>
      <c r="F64" s="235">
        <f t="shared" si="38"/>
        <v>1.2728272313461231</v>
      </c>
      <c r="G64" s="235">
        <f t="shared" si="39"/>
        <v>244.42148661814855</v>
      </c>
      <c r="H64" s="235">
        <f t="shared" si="40"/>
        <v>191.55864235165333</v>
      </c>
      <c r="I64" s="235">
        <f t="shared" si="41"/>
        <v>42.646805862816088</v>
      </c>
      <c r="J64" s="235">
        <f t="shared" si="42"/>
        <v>77.521728703544724</v>
      </c>
      <c r="K64" s="235">
        <f t="shared" si="43"/>
        <v>17.648164108636621</v>
      </c>
      <c r="L64" s="235">
        <f t="shared" si="44"/>
        <v>47.590975548057912</v>
      </c>
      <c r="M64" s="235">
        <f t="shared" si="45"/>
        <v>0.42950438017305664</v>
      </c>
      <c r="N64" s="22">
        <f t="shared" si="46"/>
        <v>1373.962632225154</v>
      </c>
      <c r="P64" s="4" t="str">
        <f t="shared" si="50"/>
        <v>2017-07</v>
      </c>
      <c r="Q64" s="194">
        <v>209712.22846627882</v>
      </c>
      <c r="R64" s="194">
        <v>113057.06676578301</v>
      </c>
      <c r="S64" s="194">
        <v>11078.720934155301</v>
      </c>
      <c r="T64" s="194">
        <v>435045.42119265901</v>
      </c>
      <c r="U64" s="194">
        <v>1303.37508489843</v>
      </c>
      <c r="V64" s="194">
        <v>250287.60229698411</v>
      </c>
      <c r="W64" s="194">
        <v>196156.04976809301</v>
      </c>
      <c r="X64" s="194">
        <v>43670.329203523674</v>
      </c>
      <c r="Y64" s="194">
        <v>79382.250192429798</v>
      </c>
      <c r="Z64" s="194">
        <v>18071.7200472439</v>
      </c>
      <c r="AA64" s="194">
        <v>48733.158961211302</v>
      </c>
      <c r="AB64" s="194">
        <v>439.81248529721</v>
      </c>
      <c r="AC64" s="7">
        <f t="shared" si="47"/>
        <v>1406937.7353985577</v>
      </c>
    </row>
    <row r="65" spans="1:29" x14ac:dyDescent="0.15">
      <c r="A65" s="181" t="str">
        <f t="shared" si="48"/>
        <v>2017-08</v>
      </c>
      <c r="B65" s="235">
        <f t="shared" si="49"/>
        <v>182.88588000698815</v>
      </c>
      <c r="C65" s="235">
        <f t="shared" si="35"/>
        <v>103.63774876070312</v>
      </c>
      <c r="D65" s="235">
        <f t="shared" si="36"/>
        <v>11.787562544075586</v>
      </c>
      <c r="E65" s="235">
        <f t="shared" si="37"/>
        <v>408.53693564881445</v>
      </c>
      <c r="F65" s="235">
        <f t="shared" si="38"/>
        <v>0.57417070791325298</v>
      </c>
      <c r="G65" s="235">
        <f t="shared" si="39"/>
        <v>406.03784030419547</v>
      </c>
      <c r="H65" s="235">
        <f t="shared" si="40"/>
        <v>112.18382804822265</v>
      </c>
      <c r="I65" s="235">
        <f t="shared" si="41"/>
        <v>19.15211098463708</v>
      </c>
      <c r="J65" s="235">
        <f t="shared" si="42"/>
        <v>92.111062870580085</v>
      </c>
      <c r="K65" s="235">
        <f t="shared" si="43"/>
        <v>15.229290645566993</v>
      </c>
      <c r="L65" s="235">
        <f t="shared" si="44"/>
        <v>44.57066479079365</v>
      </c>
      <c r="M65" s="235">
        <f t="shared" si="45"/>
        <v>0.43872088721582225</v>
      </c>
      <c r="N65" s="22">
        <f t="shared" si="46"/>
        <v>1397.1458161997066</v>
      </c>
      <c r="P65" s="4" t="str">
        <f t="shared" si="50"/>
        <v>2017-08</v>
      </c>
      <c r="Q65" s="194">
        <v>187275.14112715586</v>
      </c>
      <c r="R65" s="194">
        <v>106125.05473095999</v>
      </c>
      <c r="S65" s="194">
        <v>12070.4640451334</v>
      </c>
      <c r="T65" s="194">
        <v>418341.822104386</v>
      </c>
      <c r="U65" s="194">
        <v>587.95080490317105</v>
      </c>
      <c r="V65" s="194">
        <v>415782.74847149616</v>
      </c>
      <c r="W65" s="194">
        <v>114876.23992137999</v>
      </c>
      <c r="X65" s="194">
        <v>19611.76164826837</v>
      </c>
      <c r="Y65" s="194">
        <v>94321.728379474007</v>
      </c>
      <c r="Z65" s="194">
        <v>15594.7936210606</v>
      </c>
      <c r="AA65" s="194">
        <v>45640.360745772698</v>
      </c>
      <c r="AB65" s="194">
        <v>449.25018850900199</v>
      </c>
      <c r="AC65" s="7">
        <f t="shared" si="47"/>
        <v>1430677.3157884995</v>
      </c>
    </row>
    <row r="66" spans="1:29" x14ac:dyDescent="0.15">
      <c r="A66" s="181" t="str">
        <f t="shared" si="48"/>
        <v>2017-09</v>
      </c>
      <c r="B66" s="235">
        <f t="shared" si="49"/>
        <v>102.74773060400344</v>
      </c>
      <c r="C66" s="235">
        <f t="shared" si="35"/>
        <v>111.68581640361816</v>
      </c>
      <c r="D66" s="235">
        <f t="shared" si="36"/>
        <v>14.480161651256738</v>
      </c>
      <c r="E66" s="235">
        <f t="shared" si="37"/>
        <v>329.1578458127666</v>
      </c>
      <c r="F66" s="235">
        <f t="shared" si="38"/>
        <v>0.93337315925964448</v>
      </c>
      <c r="G66" s="235">
        <f t="shared" si="39"/>
        <v>456.81965477448375</v>
      </c>
      <c r="H66" s="235">
        <f t="shared" si="40"/>
        <v>168.07348606693066</v>
      </c>
      <c r="I66" s="235">
        <f t="shared" si="41"/>
        <v>19.454989586053653</v>
      </c>
      <c r="J66" s="235">
        <f t="shared" si="42"/>
        <v>75.21369049368603</v>
      </c>
      <c r="K66" s="235">
        <f t="shared" si="43"/>
        <v>29.737934663483397</v>
      </c>
      <c r="L66" s="235">
        <f t="shared" si="44"/>
        <v>52.318010846080959</v>
      </c>
      <c r="M66" s="235">
        <f t="shared" si="45"/>
        <v>0.4199369068664961</v>
      </c>
      <c r="N66" s="22">
        <f t="shared" si="46"/>
        <v>1361.0426309684897</v>
      </c>
      <c r="P66" s="4" t="str">
        <f t="shared" si="50"/>
        <v>2017-09</v>
      </c>
      <c r="Q66" s="194">
        <v>105213.67613849952</v>
      </c>
      <c r="R66" s="194">
        <v>114366.275997305</v>
      </c>
      <c r="S66" s="194">
        <v>14827.6855308869</v>
      </c>
      <c r="T66" s="194">
        <v>337057.63411227299</v>
      </c>
      <c r="U66" s="194">
        <v>955.77411508187595</v>
      </c>
      <c r="V66" s="194">
        <v>467783.32648907136</v>
      </c>
      <c r="W66" s="194">
        <v>172107.24973253699</v>
      </c>
      <c r="X66" s="194">
        <v>19921.909336118941</v>
      </c>
      <c r="Y66" s="194">
        <v>77018.819065534495</v>
      </c>
      <c r="Z66" s="194">
        <v>30451.645095406999</v>
      </c>
      <c r="AA66" s="194">
        <v>53573.643106386902</v>
      </c>
      <c r="AB66" s="194">
        <v>430.015392631292</v>
      </c>
      <c r="AC66" s="7">
        <f t="shared" si="47"/>
        <v>1393707.6541117334</v>
      </c>
    </row>
    <row r="67" spans="1:29" x14ac:dyDescent="0.15">
      <c r="A67" s="183" t="s">
        <v>20</v>
      </c>
      <c r="B67" s="235">
        <f>SUM(B55:B66)</f>
        <v>2378.330091915208</v>
      </c>
      <c r="C67" s="235">
        <f t="shared" ref="C67:M67" si="51">SUM(C55:C66)</f>
        <v>1418.5444757995174</v>
      </c>
      <c r="D67" s="235">
        <f t="shared" si="51"/>
        <v>151.56757468700411</v>
      </c>
      <c r="E67" s="235">
        <f t="shared" si="51"/>
        <v>5627.2969162931304</v>
      </c>
      <c r="F67" s="235">
        <f t="shared" si="51"/>
        <v>20.591103977747451</v>
      </c>
      <c r="G67" s="235">
        <f t="shared" si="51"/>
        <v>4255.6231546384679</v>
      </c>
      <c r="H67" s="235">
        <f t="shared" si="51"/>
        <v>2161.3215733560392</v>
      </c>
      <c r="I67" s="235">
        <f t="shared" si="51"/>
        <v>383.64800415002031</v>
      </c>
      <c r="J67" s="235">
        <f t="shared" si="51"/>
        <v>1388.5250310475176</v>
      </c>
      <c r="K67" s="235">
        <f t="shared" si="51"/>
        <v>169.07318274293493</v>
      </c>
      <c r="L67" s="235">
        <f t="shared" si="51"/>
        <v>547.693270146636</v>
      </c>
      <c r="M67" s="235">
        <f t="shared" si="51"/>
        <v>5.9447709620208062</v>
      </c>
      <c r="N67" s="22">
        <f t="shared" si="46"/>
        <v>18508.159149716244</v>
      </c>
      <c r="P67" s="8" t="s">
        <v>20</v>
      </c>
      <c r="Q67" s="7">
        <f>SUM(Q55:Q66)</f>
        <v>2435410.0141211729</v>
      </c>
      <c r="R67" s="7">
        <f t="shared" ref="R67:AC67" si="52">SUM(R55:R66)</f>
        <v>1452589.5432187058</v>
      </c>
      <c r="S67" s="7">
        <f t="shared" si="52"/>
        <v>155205.19647949221</v>
      </c>
      <c r="T67" s="7">
        <f t="shared" si="52"/>
        <v>5762352.0422841655</v>
      </c>
      <c r="U67" s="7">
        <f t="shared" si="52"/>
        <v>21085.29047321339</v>
      </c>
      <c r="V67" s="7">
        <f t="shared" si="52"/>
        <v>4357758.1103497911</v>
      </c>
      <c r="W67" s="7">
        <f t="shared" si="52"/>
        <v>2213193.2911165841</v>
      </c>
      <c r="X67" s="7">
        <f t="shared" si="52"/>
        <v>392855.5562496208</v>
      </c>
      <c r="Y67" s="7">
        <f t="shared" si="52"/>
        <v>1421849.631792658</v>
      </c>
      <c r="Z67" s="7">
        <f t="shared" si="52"/>
        <v>173130.93912876537</v>
      </c>
      <c r="AA67" s="7">
        <f t="shared" si="52"/>
        <v>560837.90863015526</v>
      </c>
      <c r="AB67" s="7">
        <f t="shared" si="52"/>
        <v>6087.4454651093056</v>
      </c>
      <c r="AC67" s="7">
        <f t="shared" si="52"/>
        <v>18952354.969309434</v>
      </c>
    </row>
    <row r="68" spans="1:29" x14ac:dyDescent="0.15">
      <c r="A68" s="188" t="s">
        <v>37</v>
      </c>
      <c r="B68" s="185">
        <f>AVERAGE(B55:B66)</f>
        <v>198.19417432626733</v>
      </c>
      <c r="C68" s="185">
        <f t="shared" ref="C68:M68" si="53">AVERAGE(C55:C66)</f>
        <v>118.21203964995978</v>
      </c>
      <c r="D68" s="185">
        <f t="shared" si="53"/>
        <v>12.630631223917009</v>
      </c>
      <c r="E68" s="185">
        <f t="shared" si="53"/>
        <v>468.94140969109418</v>
      </c>
      <c r="F68" s="185">
        <f t="shared" si="53"/>
        <v>1.7159253314789542</v>
      </c>
      <c r="G68" s="185">
        <f t="shared" si="53"/>
        <v>354.63526288653901</v>
      </c>
      <c r="H68" s="185">
        <f t="shared" si="53"/>
        <v>180.11013111300326</v>
      </c>
      <c r="I68" s="185">
        <f t="shared" si="53"/>
        <v>31.970667012501693</v>
      </c>
      <c r="J68" s="185">
        <f t="shared" si="53"/>
        <v>115.7104192539598</v>
      </c>
      <c r="K68" s="185">
        <f t="shared" si="53"/>
        <v>14.089431895244578</v>
      </c>
      <c r="L68" s="185">
        <f t="shared" si="53"/>
        <v>45.641105845553</v>
      </c>
      <c r="M68" s="185">
        <f t="shared" si="53"/>
        <v>0.49539758016840052</v>
      </c>
    </row>
    <row r="69" spans="1:29" x14ac:dyDescent="0.15">
      <c r="A69" s="184" t="s">
        <v>137</v>
      </c>
      <c r="B69" s="185">
        <v>1315.178235138271</v>
      </c>
      <c r="C69" s="185">
        <v>625.93828388214115</v>
      </c>
      <c r="D69" s="185">
        <v>143.02083835122664</v>
      </c>
      <c r="E69" s="185">
        <v>4058.9668372702859</v>
      </c>
      <c r="F69" s="185">
        <v>8.8443165346970822</v>
      </c>
      <c r="G69" s="185">
        <v>2501.0258962979528</v>
      </c>
      <c r="H69" s="185">
        <v>2935.5405872167821</v>
      </c>
      <c r="I69" s="185">
        <v>262.98465774811689</v>
      </c>
      <c r="J69" s="185">
        <v>1479.5026629857307</v>
      </c>
      <c r="K69" s="185">
        <v>71.654050646128539</v>
      </c>
      <c r="L69" s="185">
        <v>481.28024073248207</v>
      </c>
      <c r="M69" s="185">
        <v>2.8853466487826123</v>
      </c>
      <c r="N69" s="22">
        <f>SUM(B69:M69)</f>
        <v>13886.821953452594</v>
      </c>
    </row>
    <row r="71" spans="1:29" x14ac:dyDescent="0.15">
      <c r="B71" s="304" t="s">
        <v>38</v>
      </c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</row>
    <row r="72" spans="1:29" x14ac:dyDescent="0.15">
      <c r="A72" s="15" t="s">
        <v>21</v>
      </c>
      <c r="B72" s="6" t="s">
        <v>7</v>
      </c>
      <c r="C72" s="6" t="s">
        <v>8</v>
      </c>
      <c r="D72" s="6" t="s">
        <v>9</v>
      </c>
      <c r="E72" s="6" t="s">
        <v>10</v>
      </c>
      <c r="F72" s="6" t="s">
        <v>11</v>
      </c>
      <c r="G72" s="4" t="s">
        <v>19</v>
      </c>
      <c r="H72" s="2" t="s">
        <v>12</v>
      </c>
      <c r="I72" s="4" t="s">
        <v>13</v>
      </c>
      <c r="J72" s="4" t="s">
        <v>24</v>
      </c>
      <c r="K72" s="4" t="s">
        <v>14</v>
      </c>
      <c r="L72" s="4" t="s">
        <v>17</v>
      </c>
      <c r="M72" s="4" t="s">
        <v>15</v>
      </c>
    </row>
    <row r="73" spans="1:29" x14ac:dyDescent="0.15">
      <c r="A73" s="16">
        <f>A21</f>
        <v>42644</v>
      </c>
      <c r="B73" s="17">
        <f>B55-B$68</f>
        <v>-104.99886422197847</v>
      </c>
      <c r="C73" s="17">
        <f t="shared" ref="C73:L73" si="54">C55-C$68</f>
        <v>5.3033749870392484</v>
      </c>
      <c r="D73" s="17">
        <f t="shared" si="54"/>
        <v>-2.7867997081679849</v>
      </c>
      <c r="E73" s="17">
        <f t="shared" si="54"/>
        <v>33.914804456900924</v>
      </c>
      <c r="F73" s="17">
        <f t="shared" si="54"/>
        <v>-1.3261480170708615</v>
      </c>
      <c r="G73" s="17">
        <f t="shared" si="54"/>
        <v>-10.392172342072058</v>
      </c>
      <c r="H73" s="17">
        <f t="shared" si="54"/>
        <v>-5.1578039505130278</v>
      </c>
      <c r="I73" s="17">
        <f t="shared" si="54"/>
        <v>-12.175696024202097</v>
      </c>
      <c r="J73" s="17">
        <f t="shared" si="54"/>
        <v>1.1813321163888304</v>
      </c>
      <c r="K73" s="17">
        <f t="shared" si="54"/>
        <v>-1.201068621989597</v>
      </c>
      <c r="L73" s="17">
        <f t="shared" si="54"/>
        <v>-13.418295431091572</v>
      </c>
      <c r="M73" s="17">
        <f>M55-M$16</f>
        <v>0.20653268550310977</v>
      </c>
      <c r="N73" s="18"/>
      <c r="O73" s="18"/>
    </row>
    <row r="74" spans="1:29" x14ac:dyDescent="0.15">
      <c r="A74" s="16">
        <f t="shared" ref="A74:A84" si="55">A22</f>
        <v>42675</v>
      </c>
      <c r="B74" s="17">
        <f t="shared" ref="B74:L74" si="56">B56-B$68</f>
        <v>-52.242750143764795</v>
      </c>
      <c r="C74" s="17">
        <f t="shared" si="56"/>
        <v>-5.0625246885291091</v>
      </c>
      <c r="D74" s="17">
        <f t="shared" si="56"/>
        <v>-1.8005544623751142</v>
      </c>
      <c r="E74" s="17">
        <f t="shared" si="56"/>
        <v>1.5152319700415546</v>
      </c>
      <c r="F74" s="17">
        <f t="shared" si="56"/>
        <v>-3.7536967951835143E-2</v>
      </c>
      <c r="G74" s="17">
        <f t="shared" si="56"/>
        <v>-108.24079125747298</v>
      </c>
      <c r="H74" s="17">
        <f t="shared" si="56"/>
        <v>116.88803367168521</v>
      </c>
      <c r="I74" s="17">
        <f t="shared" si="56"/>
        <v>-5.3028576290801261</v>
      </c>
      <c r="J74" s="17">
        <f t="shared" si="56"/>
        <v>50.227102621864418</v>
      </c>
      <c r="K74" s="17">
        <f t="shared" si="56"/>
        <v>-5.0491629304076344</v>
      </c>
      <c r="L74" s="17">
        <f t="shared" si="56"/>
        <v>1.2916789189359648</v>
      </c>
      <c r="M74" s="17">
        <f t="shared" ref="M74:M84" si="57">M56-M$16</f>
        <v>0.2974125458162894</v>
      </c>
    </row>
    <row r="75" spans="1:29" x14ac:dyDescent="0.15">
      <c r="A75" s="16">
        <f t="shared" si="55"/>
        <v>42705</v>
      </c>
      <c r="B75" s="17">
        <f t="shared" ref="B75:L75" si="58">B57-B$68</f>
        <v>24.320955864828932</v>
      </c>
      <c r="C75" s="17">
        <f t="shared" si="58"/>
        <v>-56.117808580458018</v>
      </c>
      <c r="D75" s="17">
        <f t="shared" si="58"/>
        <v>-1.9247619405217939</v>
      </c>
      <c r="E75" s="17">
        <f t="shared" si="58"/>
        <v>51.683811054773003</v>
      </c>
      <c r="F75" s="17">
        <f t="shared" si="58"/>
        <v>-1.4859567122898605</v>
      </c>
      <c r="G75" s="17">
        <f t="shared" si="58"/>
        <v>59.818443139562874</v>
      </c>
      <c r="H75" s="17">
        <f t="shared" si="58"/>
        <v>53.882723571194987</v>
      </c>
      <c r="I75" s="17">
        <f t="shared" si="58"/>
        <v>2.8129628789835905</v>
      </c>
      <c r="J75" s="17">
        <f t="shared" si="58"/>
        <v>45.279110268968907</v>
      </c>
      <c r="K75" s="17">
        <f t="shared" si="58"/>
        <v>-7.5974685190389923</v>
      </c>
      <c r="L75" s="17">
        <f t="shared" si="58"/>
        <v>2.7150115779152628</v>
      </c>
      <c r="M75" s="17">
        <f t="shared" si="57"/>
        <v>7.0587062590196648E-2</v>
      </c>
    </row>
    <row r="76" spans="1:29" x14ac:dyDescent="0.15">
      <c r="A76" s="16">
        <f t="shared" si="55"/>
        <v>42736</v>
      </c>
      <c r="B76" s="17">
        <f t="shared" ref="B76:L76" si="59">B58-B$68</f>
        <v>-21.695551463563049</v>
      </c>
      <c r="C76" s="17">
        <f t="shared" si="59"/>
        <v>-13.859821846354308</v>
      </c>
      <c r="D76" s="17">
        <f t="shared" si="59"/>
        <v>5.9159329447444176</v>
      </c>
      <c r="E76" s="17">
        <f t="shared" si="59"/>
        <v>213.22601968371731</v>
      </c>
      <c r="F76" s="17">
        <f t="shared" si="59"/>
        <v>0.19101870658095788</v>
      </c>
      <c r="G76" s="17">
        <f t="shared" si="59"/>
        <v>-16.491674887713202</v>
      </c>
      <c r="H76" s="17">
        <f t="shared" si="59"/>
        <v>-55.279342126373379</v>
      </c>
      <c r="I76" s="17">
        <f t="shared" si="59"/>
        <v>6.1061620276111697</v>
      </c>
      <c r="J76" s="17">
        <f t="shared" si="59"/>
        <v>-24.705812750462243</v>
      </c>
      <c r="K76" s="17">
        <f t="shared" si="59"/>
        <v>-3.865805811290965</v>
      </c>
      <c r="L76" s="17">
        <f t="shared" si="59"/>
        <v>25.223207548614681</v>
      </c>
      <c r="M76" s="17">
        <f t="shared" si="57"/>
        <v>0.27214297073939875</v>
      </c>
    </row>
    <row r="77" spans="1:29" x14ac:dyDescent="0.15">
      <c r="A77" s="16">
        <f t="shared" si="55"/>
        <v>42767</v>
      </c>
      <c r="B77" s="17">
        <f t="shared" ref="B77:L77" si="60">B59-B$68</f>
        <v>-18.728838586192722</v>
      </c>
      <c r="C77" s="17">
        <f t="shared" si="60"/>
        <v>3.0768156498996007</v>
      </c>
      <c r="D77" s="17">
        <f t="shared" si="60"/>
        <v>3.2875844865353354</v>
      </c>
      <c r="E77" s="17">
        <f t="shared" si="60"/>
        <v>86.675860469114753</v>
      </c>
      <c r="F77" s="17">
        <f t="shared" si="60"/>
        <v>1.7327420123797272</v>
      </c>
      <c r="G77" s="17">
        <f t="shared" si="60"/>
        <v>-6.9994333127195887</v>
      </c>
      <c r="H77" s="17">
        <f t="shared" si="60"/>
        <v>-53.257955894998375</v>
      </c>
      <c r="I77" s="17">
        <f t="shared" si="60"/>
        <v>1.1752483910165523</v>
      </c>
      <c r="J77" s="17">
        <f t="shared" si="60"/>
        <v>7.2478911442970428</v>
      </c>
      <c r="K77" s="17">
        <f t="shared" si="60"/>
        <v>-4.5368734863203493</v>
      </c>
      <c r="L77" s="17">
        <f t="shared" si="60"/>
        <v>19.402325832918194</v>
      </c>
      <c r="M77" s="17">
        <f t="shared" si="57"/>
        <v>0.27764022771359409</v>
      </c>
    </row>
    <row r="78" spans="1:29" x14ac:dyDescent="0.15">
      <c r="A78" s="16">
        <f t="shared" si="55"/>
        <v>42795</v>
      </c>
      <c r="B78" s="17">
        <f t="shared" ref="B78:L78" si="61">B60-B$68</f>
        <v>-37.134656540073365</v>
      </c>
      <c r="C78" s="17">
        <f t="shared" si="61"/>
        <v>7.0243651606525219</v>
      </c>
      <c r="D78" s="17">
        <f t="shared" si="61"/>
        <v>3.4914817285731292</v>
      </c>
      <c r="E78" s="17">
        <f t="shared" si="61"/>
        <v>19.526593001869685</v>
      </c>
      <c r="F78" s="17">
        <f t="shared" si="61"/>
        <v>-1.5082987535129162</v>
      </c>
      <c r="G78" s="17">
        <f t="shared" si="61"/>
        <v>50.481356352955117</v>
      </c>
      <c r="H78" s="17">
        <f t="shared" si="61"/>
        <v>-81.291612705201501</v>
      </c>
      <c r="I78" s="17">
        <f t="shared" si="61"/>
        <v>2.3538057441671398</v>
      </c>
      <c r="J78" s="17">
        <f t="shared" si="61"/>
        <v>19.527100854644686</v>
      </c>
      <c r="K78" s="17">
        <f t="shared" si="61"/>
        <v>-1.2451268831357893</v>
      </c>
      <c r="L78" s="17">
        <f t="shared" si="61"/>
        <v>-35.427904897555635</v>
      </c>
      <c r="M78" s="17">
        <f t="shared" si="57"/>
        <v>0.28561175569982256</v>
      </c>
    </row>
    <row r="79" spans="1:29" x14ac:dyDescent="0.15">
      <c r="A79" s="16">
        <f t="shared" si="55"/>
        <v>42826</v>
      </c>
      <c r="B79" s="17">
        <f t="shared" ref="B79:L79" si="62">B61-B$68</f>
        <v>100.20454470963932</v>
      </c>
      <c r="C79" s="17">
        <f t="shared" si="62"/>
        <v>51.551386597517748</v>
      </c>
      <c r="D79" s="17">
        <f t="shared" si="62"/>
        <v>-0.24523785916095342</v>
      </c>
      <c r="E79" s="17">
        <f t="shared" si="62"/>
        <v>-23.786571909267025</v>
      </c>
      <c r="F79" s="17">
        <f t="shared" si="62"/>
        <v>1.1629019530823836</v>
      </c>
      <c r="G79" s="17">
        <f t="shared" si="62"/>
        <v>99.941024179776889</v>
      </c>
      <c r="H79" s="17">
        <f t="shared" si="62"/>
        <v>-24.125717525813798</v>
      </c>
      <c r="I79" s="17">
        <f t="shared" si="62"/>
        <v>-1.3425430625331991</v>
      </c>
      <c r="J79" s="17">
        <f t="shared" si="62"/>
        <v>4.5587226192530892</v>
      </c>
      <c r="K79" s="17">
        <f t="shared" si="62"/>
        <v>-3.8601299978287571</v>
      </c>
      <c r="L79" s="17">
        <f t="shared" si="62"/>
        <v>2.0933154805336187</v>
      </c>
      <c r="M79" s="17">
        <f t="shared" si="57"/>
        <v>0.25384784611330602</v>
      </c>
    </row>
    <row r="80" spans="1:29" x14ac:dyDescent="0.15">
      <c r="A80" s="16">
        <f t="shared" si="55"/>
        <v>42856</v>
      </c>
      <c r="B80" s="17">
        <f t="shared" ref="B80:L80" si="63">B62-B$68</f>
        <v>12.802141803700863</v>
      </c>
      <c r="C80" s="17">
        <f t="shared" si="63"/>
        <v>18.038387446567569</v>
      </c>
      <c r="D80" s="17">
        <f t="shared" si="63"/>
        <v>-3.1448277067778392</v>
      </c>
      <c r="E80" s="17">
        <f t="shared" si="63"/>
        <v>-85.462939391419354</v>
      </c>
      <c r="F80" s="17">
        <f t="shared" si="63"/>
        <v>2.2150724613534285</v>
      </c>
      <c r="G80" s="17">
        <f t="shared" si="63"/>
        <v>-13.977391281799044</v>
      </c>
      <c r="H80" s="17">
        <f t="shared" si="63"/>
        <v>47.982909275693032</v>
      </c>
      <c r="I80" s="17">
        <f t="shared" si="63"/>
        <v>28.783887419167321</v>
      </c>
      <c r="J80" s="17">
        <f t="shared" si="63"/>
        <v>30.967393458529472</v>
      </c>
      <c r="K80" s="17">
        <f t="shared" si="63"/>
        <v>3.9349179200323743</v>
      </c>
      <c r="L80" s="17">
        <f t="shared" si="63"/>
        <v>-4.09729788113669</v>
      </c>
      <c r="M80" s="17">
        <f t="shared" si="57"/>
        <v>0.20832786245088997</v>
      </c>
    </row>
    <row r="81" spans="1:14" x14ac:dyDescent="0.15">
      <c r="A81" s="16">
        <f t="shared" si="55"/>
        <v>42887</v>
      </c>
      <c r="B81" s="17">
        <f t="shared" ref="B81:L81" si="64">B63-B$68</f>
        <v>201.62483283361343</v>
      </c>
      <c r="C81" s="17">
        <f t="shared" si="64"/>
        <v>18.951087295762889</v>
      </c>
      <c r="D81" s="17">
        <f t="shared" si="64"/>
        <v>-1.9877114186915197</v>
      </c>
      <c r="E81" s="17">
        <f t="shared" si="64"/>
        <v>-53.01240585748576</v>
      </c>
      <c r="F81" s="17">
        <f t="shared" si="64"/>
        <v>1.4236102133468174</v>
      </c>
      <c r="G81" s="17">
        <f t="shared" si="64"/>
        <v>-97.512553627728778</v>
      </c>
      <c r="H81" s="17">
        <f t="shared" si="64"/>
        <v>68.873202556529947</v>
      </c>
      <c r="I81" s="17">
        <f t="shared" si="64"/>
        <v>-7.7528751411321224</v>
      </c>
      <c r="J81" s="17">
        <f t="shared" si="64"/>
        <v>-31.998064639415858</v>
      </c>
      <c r="K81" s="17">
        <f t="shared" si="64"/>
        <v>3.0736245980264183</v>
      </c>
      <c r="L81" s="17">
        <f t="shared" si="64"/>
        <v>-5.338374797407397</v>
      </c>
      <c r="M81" s="17">
        <f t="shared" si="57"/>
        <v>0.11791458113882358</v>
      </c>
    </row>
    <row r="82" spans="1:14" x14ac:dyDescent="0.15">
      <c r="A82" s="16">
        <f t="shared" si="55"/>
        <v>42917</v>
      </c>
      <c r="B82" s="17">
        <f t="shared" ref="B82:L82" si="65">B64-B$68</f>
        <v>6.6029237853330756</v>
      </c>
      <c r="C82" s="17">
        <f t="shared" si="65"/>
        <v>-7.8047478864998112</v>
      </c>
      <c r="D82" s="17">
        <f t="shared" si="65"/>
        <v>-1.8115678116559728</v>
      </c>
      <c r="E82" s="17">
        <f t="shared" si="65"/>
        <v>-44.092365557638118</v>
      </c>
      <c r="F82" s="17">
        <f t="shared" si="65"/>
        <v>-0.44309810013283113</v>
      </c>
      <c r="G82" s="17">
        <f t="shared" si="65"/>
        <v>-110.21377626839046</v>
      </c>
      <c r="H82" s="17">
        <f t="shared" si="65"/>
        <v>11.44851123865007</v>
      </c>
      <c r="I82" s="17">
        <f t="shared" si="65"/>
        <v>10.676138850314395</v>
      </c>
      <c r="J82" s="17">
        <f t="shared" si="65"/>
        <v>-38.188690550415075</v>
      </c>
      <c r="K82" s="17">
        <f t="shared" si="65"/>
        <v>3.5587322133920427</v>
      </c>
      <c r="L82" s="17">
        <f t="shared" si="65"/>
        <v>1.9498697025049125</v>
      </c>
      <c r="M82" s="17">
        <f t="shared" si="57"/>
        <v>0.13321646350638999</v>
      </c>
    </row>
    <row r="83" spans="1:14" x14ac:dyDescent="0.15">
      <c r="A83" s="16">
        <f t="shared" si="55"/>
        <v>42948</v>
      </c>
      <c r="B83" s="17">
        <f t="shared" ref="B83:L83" si="66">B65-B$68</f>
        <v>-15.308294319279184</v>
      </c>
      <c r="C83" s="17">
        <f t="shared" si="66"/>
        <v>-14.574290889256659</v>
      </c>
      <c r="D83" s="17">
        <f t="shared" si="66"/>
        <v>-0.84306867984142286</v>
      </c>
      <c r="E83" s="17">
        <f t="shared" si="66"/>
        <v>-60.40447404227973</v>
      </c>
      <c r="F83" s="17">
        <f t="shared" si="66"/>
        <v>-1.1417546235657012</v>
      </c>
      <c r="G83" s="17">
        <f t="shared" si="66"/>
        <v>51.40257741765646</v>
      </c>
      <c r="H83" s="17">
        <f t="shared" si="66"/>
        <v>-67.926303064780612</v>
      </c>
      <c r="I83" s="17">
        <f t="shared" si="66"/>
        <v>-12.818556027864613</v>
      </c>
      <c r="J83" s="17">
        <f t="shared" si="66"/>
        <v>-23.599356383379714</v>
      </c>
      <c r="K83" s="17">
        <f t="shared" si="66"/>
        <v>1.1398587503224142</v>
      </c>
      <c r="L83" s="17">
        <f t="shared" si="66"/>
        <v>-1.0704410547593497</v>
      </c>
      <c r="M83" s="17">
        <f t="shared" si="57"/>
        <v>0.1424329705491556</v>
      </c>
    </row>
    <row r="84" spans="1:14" x14ac:dyDescent="0.15">
      <c r="A84" s="16">
        <f t="shared" si="55"/>
        <v>42979</v>
      </c>
      <c r="B84" s="17">
        <f t="shared" ref="B84:L84" si="67">B66-B$68</f>
        <v>-95.446443722263894</v>
      </c>
      <c r="C84" s="17">
        <f t="shared" si="67"/>
        <v>-6.5262232463416154</v>
      </c>
      <c r="D84" s="17">
        <f t="shared" si="67"/>
        <v>1.8495304273397295</v>
      </c>
      <c r="E84" s="17">
        <f t="shared" si="67"/>
        <v>-139.78356387832758</v>
      </c>
      <c r="F84" s="17">
        <f t="shared" si="67"/>
        <v>-0.78255217221930973</v>
      </c>
      <c r="G84" s="17">
        <f t="shared" si="67"/>
        <v>102.18439188794474</v>
      </c>
      <c r="H84" s="17">
        <f t="shared" si="67"/>
        <v>-12.036645046072607</v>
      </c>
      <c r="I84" s="17">
        <f t="shared" si="67"/>
        <v>-12.51567742644804</v>
      </c>
      <c r="J84" s="17">
        <f t="shared" si="67"/>
        <v>-40.496728760273768</v>
      </c>
      <c r="K84" s="17">
        <f t="shared" si="67"/>
        <v>15.648502768238819</v>
      </c>
      <c r="L84" s="17">
        <f t="shared" si="67"/>
        <v>6.6769050005279595</v>
      </c>
      <c r="M84" s="17">
        <f t="shared" si="57"/>
        <v>0.12364899019982944</v>
      </c>
    </row>
    <row r="85" spans="1:14" x14ac:dyDescent="0.15">
      <c r="A85" s="15" t="s">
        <v>16</v>
      </c>
      <c r="B85" s="24">
        <f>SUM(B73:B84)</f>
        <v>1.4210854715202004E-13</v>
      </c>
      <c r="C85" s="24">
        <f t="shared" ref="C85:M85" si="68">SUM(C73:C84)</f>
        <v>5.6843418860808015E-14</v>
      </c>
      <c r="D85" s="24">
        <f t="shared" si="68"/>
        <v>1.0658141036401503E-14</v>
      </c>
      <c r="E85" s="24">
        <f t="shared" si="68"/>
        <v>-3.4106051316484809E-13</v>
      </c>
      <c r="F85" s="24">
        <f t="shared" si="68"/>
        <v>0</v>
      </c>
      <c r="G85" s="24">
        <f t="shared" si="68"/>
        <v>0</v>
      </c>
      <c r="H85" s="24">
        <f t="shared" si="68"/>
        <v>-5.6843418860808015E-14</v>
      </c>
      <c r="I85" s="24">
        <f t="shared" si="68"/>
        <v>-2.8421709430404007E-14</v>
      </c>
      <c r="J85" s="24">
        <f t="shared" si="68"/>
        <v>-1.9895196601282805E-13</v>
      </c>
      <c r="K85" s="24">
        <f t="shared" si="68"/>
        <v>-1.9539925233402755E-14</v>
      </c>
      <c r="L85" s="24">
        <f t="shared" si="68"/>
        <v>-4.9737991503207013E-14</v>
      </c>
      <c r="M85" s="24">
        <f t="shared" si="68"/>
        <v>2.389315962020806</v>
      </c>
    </row>
    <row r="86" spans="1:14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4" x14ac:dyDescent="0.15">
      <c r="B87" s="304" t="s">
        <v>39</v>
      </c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</row>
    <row r="88" spans="1:14" x14ac:dyDescent="0.15">
      <c r="A88" s="15" t="s">
        <v>21</v>
      </c>
      <c r="B88" s="6" t="s">
        <v>7</v>
      </c>
      <c r="C88" s="6" t="s">
        <v>8</v>
      </c>
      <c r="D88" s="6" t="s">
        <v>9</v>
      </c>
      <c r="E88" s="6" t="s">
        <v>10</v>
      </c>
      <c r="F88" s="6" t="s">
        <v>11</v>
      </c>
      <c r="G88" s="4" t="s">
        <v>19</v>
      </c>
      <c r="H88" s="2" t="s">
        <v>12</v>
      </c>
      <c r="I88" s="4" t="s">
        <v>13</v>
      </c>
      <c r="J88" s="4" t="s">
        <v>24</v>
      </c>
      <c r="K88" s="4" t="s">
        <v>14</v>
      </c>
      <c r="L88" s="4" t="s">
        <v>17</v>
      </c>
      <c r="M88" s="4" t="s">
        <v>15</v>
      </c>
    </row>
    <row r="89" spans="1:14" x14ac:dyDescent="0.15">
      <c r="A89" s="16">
        <f>A73</f>
        <v>42644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4" x14ac:dyDescent="0.15">
      <c r="A90" s="16">
        <f t="shared" ref="A90:A100" si="69">A74</f>
        <v>42675</v>
      </c>
      <c r="B90" s="17">
        <f>B56-B55</f>
        <v>52.75611407821367</v>
      </c>
      <c r="C90" s="17">
        <f t="shared" ref="C90:M90" si="70">C56-C55</f>
        <v>-10.365899675568357</v>
      </c>
      <c r="D90" s="17">
        <f t="shared" si="70"/>
        <v>0.98624524579287076</v>
      </c>
      <c r="E90" s="17">
        <f t="shared" si="70"/>
        <v>-32.39957248685937</v>
      </c>
      <c r="F90" s="17">
        <f t="shared" si="70"/>
        <v>1.2886110491190264</v>
      </c>
      <c r="G90" s="17">
        <f t="shared" si="70"/>
        <v>-97.84861891540092</v>
      </c>
      <c r="H90" s="17">
        <f t="shared" si="70"/>
        <v>122.04583762219823</v>
      </c>
      <c r="I90" s="17">
        <f t="shared" si="70"/>
        <v>6.8728383951219705</v>
      </c>
      <c r="J90" s="17">
        <f t="shared" si="70"/>
        <v>49.045770505475588</v>
      </c>
      <c r="K90" s="17">
        <f t="shared" si="70"/>
        <v>-3.8480943084180375</v>
      </c>
      <c r="L90" s="17">
        <f t="shared" si="70"/>
        <v>14.709974350027537</v>
      </c>
      <c r="M90" s="17">
        <f t="shared" si="70"/>
        <v>9.0879860313179628E-2</v>
      </c>
      <c r="N90" s="20"/>
    </row>
    <row r="91" spans="1:14" x14ac:dyDescent="0.15">
      <c r="A91" s="16">
        <f t="shared" si="69"/>
        <v>42705</v>
      </c>
      <c r="B91" s="17">
        <f t="shared" ref="B91:M91" si="71">B57-B56</f>
        <v>76.563706008593726</v>
      </c>
      <c r="C91" s="17">
        <f t="shared" si="71"/>
        <v>-51.055283891928909</v>
      </c>
      <c r="D91" s="17">
        <f t="shared" si="71"/>
        <v>-0.12420747814667976</v>
      </c>
      <c r="E91" s="17">
        <f t="shared" si="71"/>
        <v>50.168579084731448</v>
      </c>
      <c r="F91" s="17">
        <f t="shared" si="71"/>
        <v>-1.4484197443380253</v>
      </c>
      <c r="G91" s="17">
        <f t="shared" si="71"/>
        <v>168.05923439703585</v>
      </c>
      <c r="H91" s="17">
        <f t="shared" si="71"/>
        <v>-63.00531010049022</v>
      </c>
      <c r="I91" s="17">
        <f t="shared" si="71"/>
        <v>8.1158205080637167</v>
      </c>
      <c r="J91" s="17">
        <f t="shared" si="71"/>
        <v>-4.9479923528955112</v>
      </c>
      <c r="K91" s="17">
        <f t="shared" si="71"/>
        <v>-2.5483055886313579</v>
      </c>
      <c r="L91" s="17">
        <f t="shared" si="71"/>
        <v>1.4233326589792981</v>
      </c>
      <c r="M91" s="17">
        <f t="shared" si="71"/>
        <v>-0.22682548322609275</v>
      </c>
      <c r="N91" s="20"/>
    </row>
    <row r="92" spans="1:14" x14ac:dyDescent="0.15">
      <c r="A92" s="16">
        <f t="shared" si="69"/>
        <v>42736</v>
      </c>
      <c r="B92" s="17">
        <f t="shared" ref="B92:M92" si="72">B58-B57</f>
        <v>-46.016507328391981</v>
      </c>
      <c r="C92" s="17">
        <f t="shared" si="72"/>
        <v>42.25798673410371</v>
      </c>
      <c r="D92" s="17">
        <f t="shared" si="72"/>
        <v>7.8406948852662115</v>
      </c>
      <c r="E92" s="17">
        <f t="shared" si="72"/>
        <v>161.54220862894431</v>
      </c>
      <c r="F92" s="17">
        <f t="shared" si="72"/>
        <v>1.6769754188708184</v>
      </c>
      <c r="G92" s="17">
        <f t="shared" si="72"/>
        <v>-76.310118027276076</v>
      </c>
      <c r="H92" s="17">
        <f t="shared" si="72"/>
        <v>-109.16206569756837</v>
      </c>
      <c r="I92" s="17">
        <f t="shared" si="72"/>
        <v>3.2931991486275791</v>
      </c>
      <c r="J92" s="17">
        <f t="shared" si="72"/>
        <v>-69.98492301943115</v>
      </c>
      <c r="K92" s="17">
        <f t="shared" si="72"/>
        <v>3.7316627077480273</v>
      </c>
      <c r="L92" s="17">
        <f t="shared" si="72"/>
        <v>22.508195970699418</v>
      </c>
      <c r="M92" s="17">
        <f t="shared" si="72"/>
        <v>0.2015559081492021</v>
      </c>
      <c r="N92" s="20"/>
    </row>
    <row r="93" spans="1:14" x14ac:dyDescent="0.15">
      <c r="A93" s="16">
        <f t="shared" si="69"/>
        <v>42767</v>
      </c>
      <c r="B93" s="17">
        <f t="shared" ref="B93:M93" si="73">B59-B58</f>
        <v>2.9667128773703269</v>
      </c>
      <c r="C93" s="17">
        <f t="shared" si="73"/>
        <v>16.936637496253908</v>
      </c>
      <c r="D93" s="17">
        <f t="shared" si="73"/>
        <v>-2.6283484582090821</v>
      </c>
      <c r="E93" s="17">
        <f t="shared" si="73"/>
        <v>-126.55015921460256</v>
      </c>
      <c r="F93" s="17">
        <f t="shared" si="73"/>
        <v>1.5417233057987694</v>
      </c>
      <c r="G93" s="17">
        <f t="shared" si="73"/>
        <v>9.4922415749936135</v>
      </c>
      <c r="H93" s="17">
        <f t="shared" si="73"/>
        <v>2.0213862313750042</v>
      </c>
      <c r="I93" s="17">
        <f t="shared" si="73"/>
        <v>-4.9309136365946173</v>
      </c>
      <c r="J93" s="17">
        <f t="shared" si="73"/>
        <v>31.953703894759286</v>
      </c>
      <c r="K93" s="17">
        <f t="shared" si="73"/>
        <v>-0.67106767502938425</v>
      </c>
      <c r="L93" s="17">
        <f t="shared" si="73"/>
        <v>-5.8208817156964869</v>
      </c>
      <c r="M93" s="17">
        <f t="shared" si="73"/>
        <v>5.4972569741953414E-3</v>
      </c>
      <c r="N93" s="20"/>
    </row>
    <row r="94" spans="1:14" x14ac:dyDescent="0.15">
      <c r="A94" s="16">
        <f t="shared" si="69"/>
        <v>42795</v>
      </c>
      <c r="B94" s="17">
        <f t="shared" ref="B94:M94" si="74">B60-B59</f>
        <v>-18.405817953880643</v>
      </c>
      <c r="C94" s="17">
        <f t="shared" si="74"/>
        <v>3.9475495107529213</v>
      </c>
      <c r="D94" s="17">
        <f t="shared" si="74"/>
        <v>0.2038972420377938</v>
      </c>
      <c r="E94" s="17">
        <f t="shared" si="74"/>
        <v>-67.149267467245068</v>
      </c>
      <c r="F94" s="17">
        <f t="shared" si="74"/>
        <v>-3.2410407658926434</v>
      </c>
      <c r="G94" s="17">
        <f t="shared" si="74"/>
        <v>57.480789665674706</v>
      </c>
      <c r="H94" s="17">
        <f t="shared" si="74"/>
        <v>-28.033656810203126</v>
      </c>
      <c r="I94" s="17">
        <f t="shared" si="74"/>
        <v>1.1785573531505875</v>
      </c>
      <c r="J94" s="17">
        <f t="shared" si="74"/>
        <v>12.279209710347644</v>
      </c>
      <c r="K94" s="17">
        <f t="shared" si="74"/>
        <v>3.2917466031845599</v>
      </c>
      <c r="L94" s="17">
        <f t="shared" si="74"/>
        <v>-54.830230730473829</v>
      </c>
      <c r="M94" s="17">
        <f t="shared" si="74"/>
        <v>7.971527986228466E-3</v>
      </c>
      <c r="N94" s="20"/>
    </row>
    <row r="95" spans="1:14" x14ac:dyDescent="0.15">
      <c r="A95" s="16">
        <f t="shared" si="69"/>
        <v>42826</v>
      </c>
      <c r="B95" s="17">
        <f t="shared" ref="B95:M95" si="75">B61-B60</f>
        <v>137.33920124971269</v>
      </c>
      <c r="C95" s="17">
        <f t="shared" si="75"/>
        <v>44.527021436865226</v>
      </c>
      <c r="D95" s="17">
        <f t="shared" si="75"/>
        <v>-3.7367195877340826</v>
      </c>
      <c r="E95" s="17">
        <f t="shared" si="75"/>
        <v>-43.31316491113671</v>
      </c>
      <c r="F95" s="17">
        <f t="shared" si="75"/>
        <v>2.6712007065952998</v>
      </c>
      <c r="G95" s="17">
        <f t="shared" si="75"/>
        <v>49.459667826821772</v>
      </c>
      <c r="H95" s="17">
        <f t="shared" si="75"/>
        <v>57.165895179387704</v>
      </c>
      <c r="I95" s="17">
        <f t="shared" si="75"/>
        <v>-3.6963488067003389</v>
      </c>
      <c r="J95" s="17">
        <f t="shared" si="75"/>
        <v>-14.968378235391597</v>
      </c>
      <c r="K95" s="17">
        <f t="shared" si="75"/>
        <v>-2.6150031146929678</v>
      </c>
      <c r="L95" s="17">
        <f t="shared" si="75"/>
        <v>37.521220378089254</v>
      </c>
      <c r="M95" s="17">
        <f t="shared" si="75"/>
        <v>-3.1763909586516537E-2</v>
      </c>
      <c r="N95" s="20"/>
    </row>
    <row r="96" spans="1:14" x14ac:dyDescent="0.15">
      <c r="A96" s="16">
        <f t="shared" si="69"/>
        <v>42856</v>
      </c>
      <c r="B96" s="17">
        <f t="shared" ref="B96:M96" si="76">B62-B61</f>
        <v>-87.402402905938459</v>
      </c>
      <c r="C96" s="17">
        <f t="shared" si="76"/>
        <v>-33.512999150950179</v>
      </c>
      <c r="D96" s="17">
        <f t="shared" si="76"/>
        <v>-2.8995898476168858</v>
      </c>
      <c r="E96" s="17">
        <f t="shared" si="76"/>
        <v>-61.67636748215233</v>
      </c>
      <c r="F96" s="17">
        <f t="shared" si="76"/>
        <v>1.0521705082710451</v>
      </c>
      <c r="G96" s="17">
        <f t="shared" si="76"/>
        <v>-113.91841546157593</v>
      </c>
      <c r="H96" s="17">
        <f t="shared" si="76"/>
        <v>72.10862680150683</v>
      </c>
      <c r="I96" s="17">
        <f t="shared" si="76"/>
        <v>30.12643048170052</v>
      </c>
      <c r="J96" s="17">
        <f t="shared" si="76"/>
        <v>26.408670839276382</v>
      </c>
      <c r="K96" s="17">
        <f t="shared" si="76"/>
        <v>7.7950479178611314</v>
      </c>
      <c r="L96" s="17">
        <f t="shared" si="76"/>
        <v>-6.1906133616703087</v>
      </c>
      <c r="M96" s="17">
        <f t="shared" si="76"/>
        <v>-4.5519983662416053E-2</v>
      </c>
      <c r="N96" s="20"/>
    </row>
    <row r="97" spans="1:37" x14ac:dyDescent="0.15">
      <c r="A97" s="16">
        <f t="shared" si="69"/>
        <v>42887</v>
      </c>
      <c r="B97" s="17">
        <f t="shared" ref="B97:M97" si="77">B63-B62</f>
        <v>188.82269102991256</v>
      </c>
      <c r="C97" s="17">
        <f t="shared" si="77"/>
        <v>0.91269984919532021</v>
      </c>
      <c r="D97" s="17">
        <f t="shared" si="77"/>
        <v>1.1571162880863195</v>
      </c>
      <c r="E97" s="17">
        <f t="shared" si="77"/>
        <v>32.450533533933594</v>
      </c>
      <c r="F97" s="17">
        <f t="shared" si="77"/>
        <v>-0.79146224800661136</v>
      </c>
      <c r="G97" s="17">
        <f t="shared" si="77"/>
        <v>-83.535162345929734</v>
      </c>
      <c r="H97" s="17">
        <f t="shared" si="77"/>
        <v>20.890293280836914</v>
      </c>
      <c r="I97" s="17">
        <f t="shared" si="77"/>
        <v>-36.536762560299444</v>
      </c>
      <c r="J97" s="17">
        <f t="shared" si="77"/>
        <v>-62.96545809794533</v>
      </c>
      <c r="K97" s="17">
        <f t="shared" si="77"/>
        <v>-0.86129332200595599</v>
      </c>
      <c r="L97" s="17">
        <f t="shared" si="77"/>
        <v>-1.2410769162707069</v>
      </c>
      <c r="M97" s="17">
        <f t="shared" si="77"/>
        <v>-9.0413281312066385E-2</v>
      </c>
      <c r="N97" s="20"/>
    </row>
    <row r="98" spans="1:37" x14ac:dyDescent="0.15">
      <c r="A98" s="16">
        <f t="shared" si="69"/>
        <v>42917</v>
      </c>
      <c r="B98" s="17">
        <f t="shared" ref="B98:M98" si="78">B64-B63</f>
        <v>-195.02190904828035</v>
      </c>
      <c r="C98" s="17">
        <f t="shared" si="78"/>
        <v>-26.7558351822627</v>
      </c>
      <c r="D98" s="17">
        <f t="shared" si="78"/>
        <v>0.17614360703554688</v>
      </c>
      <c r="E98" s="17">
        <f t="shared" si="78"/>
        <v>8.920040299847642</v>
      </c>
      <c r="F98" s="17">
        <f t="shared" si="78"/>
        <v>-1.8667083134796485</v>
      </c>
      <c r="G98" s="17">
        <f t="shared" si="78"/>
        <v>-12.701222640661683</v>
      </c>
      <c r="H98" s="17">
        <f t="shared" si="78"/>
        <v>-57.424691317879876</v>
      </c>
      <c r="I98" s="17">
        <f t="shared" si="78"/>
        <v>18.429013991446517</v>
      </c>
      <c r="J98" s="17">
        <f t="shared" si="78"/>
        <v>-6.1906259109992163</v>
      </c>
      <c r="K98" s="17">
        <f t="shared" si="78"/>
        <v>0.48510761536562441</v>
      </c>
      <c r="L98" s="17">
        <f t="shared" si="78"/>
        <v>7.2882444999123095</v>
      </c>
      <c r="M98" s="17">
        <f t="shared" si="78"/>
        <v>1.5301882367566411E-2</v>
      </c>
      <c r="N98" s="20"/>
    </row>
    <row r="99" spans="1:37" x14ac:dyDescent="0.15">
      <c r="A99" s="16">
        <f t="shared" si="69"/>
        <v>42948</v>
      </c>
      <c r="B99" s="17">
        <f t="shared" ref="B99:M99" si="79">B65-B64</f>
        <v>-21.91121810461226</v>
      </c>
      <c r="C99" s="17">
        <f t="shared" si="79"/>
        <v>-6.7695430027568477</v>
      </c>
      <c r="D99" s="17">
        <f t="shared" si="79"/>
        <v>0.96849913181454994</v>
      </c>
      <c r="E99" s="17">
        <f t="shared" si="79"/>
        <v>-16.312108484641612</v>
      </c>
      <c r="F99" s="17">
        <f t="shared" si="79"/>
        <v>-0.6986565234328701</v>
      </c>
      <c r="G99" s="17">
        <f t="shared" si="79"/>
        <v>161.61635368604692</v>
      </c>
      <c r="H99" s="17">
        <f t="shared" si="79"/>
        <v>-79.374814303430682</v>
      </c>
      <c r="I99" s="17">
        <f t="shared" si="79"/>
        <v>-23.494694878179008</v>
      </c>
      <c r="J99" s="17">
        <f t="shared" si="79"/>
        <v>14.589334167035361</v>
      </c>
      <c r="K99" s="17">
        <f t="shared" si="79"/>
        <v>-2.4188734630696285</v>
      </c>
      <c r="L99" s="17">
        <f t="shared" si="79"/>
        <v>-3.0203107572642622</v>
      </c>
      <c r="M99" s="17">
        <f t="shared" si="79"/>
        <v>9.2165070427656093E-3</v>
      </c>
      <c r="N99" s="20"/>
    </row>
    <row r="100" spans="1:37" x14ac:dyDescent="0.15">
      <c r="A100" s="16">
        <f t="shared" si="69"/>
        <v>42979</v>
      </c>
      <c r="B100" s="17">
        <f t="shared" ref="B100:M100" si="80">B66-B65</f>
        <v>-80.138149402984709</v>
      </c>
      <c r="C100" s="17">
        <f t="shared" si="80"/>
        <v>8.0480676429150435</v>
      </c>
      <c r="D100" s="17">
        <f t="shared" si="80"/>
        <v>2.6925991071811524</v>
      </c>
      <c r="E100" s="17">
        <f t="shared" si="80"/>
        <v>-79.379089836047854</v>
      </c>
      <c r="F100" s="17">
        <f t="shared" si="80"/>
        <v>0.3592024513463915</v>
      </c>
      <c r="G100" s="17">
        <f t="shared" si="80"/>
        <v>50.781814470288282</v>
      </c>
      <c r="H100" s="17">
        <f t="shared" si="80"/>
        <v>55.889658018708005</v>
      </c>
      <c r="I100" s="17">
        <f t="shared" si="80"/>
        <v>0.30287860141657319</v>
      </c>
      <c r="J100" s="17">
        <f t="shared" si="80"/>
        <v>-16.897372376894054</v>
      </c>
      <c r="K100" s="17">
        <f t="shared" si="80"/>
        <v>14.508644017916405</v>
      </c>
      <c r="L100" s="17">
        <f t="shared" si="80"/>
        <v>7.7473460552873092</v>
      </c>
      <c r="M100" s="17">
        <f t="shared" si="80"/>
        <v>-1.8783980349326157E-2</v>
      </c>
      <c r="N100" s="20"/>
    </row>
    <row r="104" spans="1:37" x14ac:dyDescent="0.15">
      <c r="A104" s="25" t="s">
        <v>43</v>
      </c>
      <c r="P104" s="54" t="s">
        <v>139</v>
      </c>
    </row>
    <row r="105" spans="1:37" x14ac:dyDescent="0.15">
      <c r="A105" s="1" t="s">
        <v>25</v>
      </c>
      <c r="B105" s="6" t="s">
        <v>7</v>
      </c>
      <c r="C105" s="6" t="s">
        <v>8</v>
      </c>
      <c r="D105" s="6" t="s">
        <v>9</v>
      </c>
      <c r="E105" s="6" t="s">
        <v>10</v>
      </c>
      <c r="F105" s="6" t="s">
        <v>11</v>
      </c>
      <c r="G105" s="4" t="s">
        <v>19</v>
      </c>
      <c r="H105" s="2" t="s">
        <v>12</v>
      </c>
      <c r="I105" s="4" t="s">
        <v>13</v>
      </c>
      <c r="J105" s="4" t="s">
        <v>24</v>
      </c>
      <c r="K105" s="4" t="s">
        <v>14</v>
      </c>
      <c r="L105" s="4" t="s">
        <v>17</v>
      </c>
      <c r="M105" s="4" t="s">
        <v>15</v>
      </c>
      <c r="N105" s="4" t="s">
        <v>16</v>
      </c>
      <c r="P105" s="96" t="s">
        <v>25</v>
      </c>
      <c r="Q105" s="97" t="s">
        <v>8</v>
      </c>
      <c r="R105" s="97" t="s">
        <v>9</v>
      </c>
      <c r="S105" s="97" t="s">
        <v>10</v>
      </c>
      <c r="T105" s="97" t="s">
        <v>11</v>
      </c>
      <c r="U105" s="97" t="s">
        <v>89</v>
      </c>
      <c r="V105" s="97" t="s">
        <v>90</v>
      </c>
      <c r="W105" s="97" t="s">
        <v>91</v>
      </c>
      <c r="X105" s="97" t="s">
        <v>92</v>
      </c>
      <c r="Y105" s="97" t="s">
        <v>58</v>
      </c>
      <c r="Z105" s="97" t="s">
        <v>93</v>
      </c>
      <c r="AA105" s="97" t="s">
        <v>94</v>
      </c>
      <c r="AB105" s="97" t="s">
        <v>95</v>
      </c>
      <c r="AC105" s="97" t="s">
        <v>12</v>
      </c>
      <c r="AD105" s="97" t="s">
        <v>13</v>
      </c>
      <c r="AE105" s="97" t="s">
        <v>96</v>
      </c>
      <c r="AF105" s="97" t="s">
        <v>97</v>
      </c>
      <c r="AG105" s="97" t="s">
        <v>24</v>
      </c>
      <c r="AH105" s="97" t="s">
        <v>14</v>
      </c>
      <c r="AI105" s="97" t="s">
        <v>98</v>
      </c>
      <c r="AJ105" s="97" t="s">
        <v>15</v>
      </c>
      <c r="AK105" s="97" t="s">
        <v>16</v>
      </c>
    </row>
    <row r="106" spans="1:37" x14ac:dyDescent="0.15">
      <c r="A106" s="4" t="str">
        <f>P106</f>
        <v>2016-10</v>
      </c>
      <c r="B106" s="193">
        <f t="shared" ref="B106:B117" si="81">U106+V106+W106+X106</f>
        <v>632</v>
      </c>
      <c r="C106" s="193">
        <f t="shared" ref="C106:C117" si="82">Q106</f>
        <v>4144</v>
      </c>
      <c r="D106" s="193">
        <f t="shared" ref="D106:D117" si="83">R106</f>
        <v>84649</v>
      </c>
      <c r="E106" s="193">
        <f t="shared" ref="E106:E117" si="84">S106</f>
        <v>21794</v>
      </c>
      <c r="F106" s="193">
        <f t="shared" ref="F106:F117" si="85">T106</f>
        <v>303</v>
      </c>
      <c r="G106" s="193">
        <f t="shared" ref="G106:G117" si="86">Y106+Z106+AA106+AB106</f>
        <v>14342</v>
      </c>
      <c r="H106" s="193">
        <f t="shared" ref="H106:H117" si="87">AC106</f>
        <v>66962</v>
      </c>
      <c r="I106" s="193">
        <f t="shared" ref="I106:I117" si="88">AD106+AE106+AF106</f>
        <v>3658</v>
      </c>
      <c r="J106" s="193">
        <f t="shared" ref="J106:J117" si="89">AG106</f>
        <v>4360</v>
      </c>
      <c r="K106" s="193">
        <f t="shared" ref="K106:K117" si="90">AH106</f>
        <v>2206</v>
      </c>
      <c r="L106" s="193">
        <f t="shared" ref="L106:L117" si="91">AI106</f>
        <v>6273</v>
      </c>
      <c r="M106" s="193">
        <f t="shared" ref="M106:M117" si="92">AJ106</f>
        <v>57414</v>
      </c>
      <c r="N106" s="193">
        <f t="shared" ref="N106:N118" si="93">SUM(B106:M106)</f>
        <v>266737</v>
      </c>
      <c r="P106" s="98" t="str">
        <f>P55</f>
        <v>2016-10</v>
      </c>
      <c r="Q106" s="240">
        <v>4144</v>
      </c>
      <c r="R106" s="240">
        <v>84649</v>
      </c>
      <c r="S106" s="240">
        <v>21794</v>
      </c>
      <c r="T106" s="240">
        <v>303</v>
      </c>
      <c r="U106" s="240">
        <v>101</v>
      </c>
      <c r="V106" s="240">
        <v>217</v>
      </c>
      <c r="W106" s="240">
        <v>128</v>
      </c>
      <c r="X106" s="240">
        <v>186</v>
      </c>
      <c r="Y106" s="240">
        <v>6870</v>
      </c>
      <c r="Z106" s="240">
        <v>1253</v>
      </c>
      <c r="AA106" s="240">
        <v>5979</v>
      </c>
      <c r="AB106" s="240">
        <v>240</v>
      </c>
      <c r="AC106" s="240">
        <v>66962</v>
      </c>
      <c r="AD106" s="240">
        <v>1218</v>
      </c>
      <c r="AE106" s="240">
        <v>66</v>
      </c>
      <c r="AF106" s="240">
        <v>2374</v>
      </c>
      <c r="AG106" s="240">
        <v>4360</v>
      </c>
      <c r="AH106" s="240">
        <v>2206</v>
      </c>
      <c r="AI106" s="240">
        <v>6273</v>
      </c>
      <c r="AJ106" s="240">
        <v>57414</v>
      </c>
      <c r="AK106" s="97">
        <f>SUM(Q106:AJ106)</f>
        <v>266737</v>
      </c>
    </row>
    <row r="107" spans="1:37" x14ac:dyDescent="0.15">
      <c r="A107" s="4" t="str">
        <f t="shared" ref="A107:A117" si="94">P107</f>
        <v>2016-11</v>
      </c>
      <c r="B107" s="193">
        <f t="shared" si="81"/>
        <v>524</v>
      </c>
      <c r="C107" s="193">
        <f t="shared" si="82"/>
        <v>4892</v>
      </c>
      <c r="D107" s="193">
        <f t="shared" si="83"/>
        <v>52352</v>
      </c>
      <c r="E107" s="193">
        <f t="shared" si="84"/>
        <v>16820</v>
      </c>
      <c r="F107" s="193">
        <f t="shared" si="85"/>
        <v>258</v>
      </c>
      <c r="G107" s="193">
        <f t="shared" si="86"/>
        <v>16312</v>
      </c>
      <c r="H107" s="193">
        <f t="shared" si="87"/>
        <v>32923</v>
      </c>
      <c r="I107" s="193">
        <f t="shared" si="88"/>
        <v>4942</v>
      </c>
      <c r="J107" s="193">
        <f t="shared" si="89"/>
        <v>4756</v>
      </c>
      <c r="K107" s="193">
        <f t="shared" si="90"/>
        <v>2233</v>
      </c>
      <c r="L107" s="193">
        <f t="shared" si="91"/>
        <v>7472</v>
      </c>
      <c r="M107" s="193">
        <f t="shared" si="92"/>
        <v>62718</v>
      </c>
      <c r="N107" s="193">
        <f t="shared" si="93"/>
        <v>206202</v>
      </c>
      <c r="P107" s="98" t="str">
        <f t="shared" ref="P107:P117" si="95">P56</f>
        <v>2016-11</v>
      </c>
      <c r="Q107" s="240">
        <v>4892</v>
      </c>
      <c r="R107" s="240">
        <v>52352</v>
      </c>
      <c r="S107" s="240">
        <v>16820</v>
      </c>
      <c r="T107" s="240">
        <v>258</v>
      </c>
      <c r="U107" s="240">
        <v>77</v>
      </c>
      <c r="V107" s="240">
        <v>75</v>
      </c>
      <c r="W107" s="240">
        <v>160</v>
      </c>
      <c r="X107" s="240">
        <v>212</v>
      </c>
      <c r="Y107" s="240">
        <v>8458</v>
      </c>
      <c r="Z107" s="240">
        <v>1366</v>
      </c>
      <c r="AA107" s="240">
        <v>6321</v>
      </c>
      <c r="AB107" s="240">
        <v>167</v>
      </c>
      <c r="AC107" s="240">
        <v>32923</v>
      </c>
      <c r="AD107" s="240">
        <v>1296</v>
      </c>
      <c r="AE107" s="240">
        <v>70</v>
      </c>
      <c r="AF107" s="240">
        <v>3576</v>
      </c>
      <c r="AG107" s="240">
        <v>4756</v>
      </c>
      <c r="AH107" s="240">
        <v>2233</v>
      </c>
      <c r="AI107" s="240">
        <v>7472</v>
      </c>
      <c r="AJ107" s="240">
        <v>62718</v>
      </c>
      <c r="AK107" s="97">
        <f t="shared" ref="AK107:AK117" si="96">SUM(Q107:AJ107)</f>
        <v>206202</v>
      </c>
    </row>
    <row r="108" spans="1:37" x14ac:dyDescent="0.15">
      <c r="A108" s="4" t="str">
        <f t="shared" si="94"/>
        <v>2016-12</v>
      </c>
      <c r="B108" s="193">
        <f t="shared" si="81"/>
        <v>494</v>
      </c>
      <c r="C108" s="193">
        <f t="shared" si="82"/>
        <v>3721</v>
      </c>
      <c r="D108" s="193">
        <f t="shared" si="83"/>
        <v>23185</v>
      </c>
      <c r="E108" s="193">
        <f t="shared" si="84"/>
        <v>13248</v>
      </c>
      <c r="F108" s="193">
        <f t="shared" si="85"/>
        <v>230</v>
      </c>
      <c r="G108" s="193">
        <f t="shared" si="86"/>
        <v>14103</v>
      </c>
      <c r="H108" s="193">
        <f t="shared" si="87"/>
        <v>21400</v>
      </c>
      <c r="I108" s="193">
        <f t="shared" si="88"/>
        <v>4923</v>
      </c>
      <c r="J108" s="193">
        <f t="shared" si="89"/>
        <v>4455</v>
      </c>
      <c r="K108" s="193">
        <f t="shared" si="90"/>
        <v>1688</v>
      </c>
      <c r="L108" s="193">
        <f t="shared" si="91"/>
        <v>5953</v>
      </c>
      <c r="M108" s="193">
        <f t="shared" si="92"/>
        <v>48488</v>
      </c>
      <c r="N108" s="193">
        <f t="shared" si="93"/>
        <v>141888</v>
      </c>
      <c r="P108" s="98" t="str">
        <f t="shared" si="95"/>
        <v>2016-12</v>
      </c>
      <c r="Q108" s="240">
        <v>3721</v>
      </c>
      <c r="R108" s="240">
        <v>23185</v>
      </c>
      <c r="S108" s="240">
        <v>13248</v>
      </c>
      <c r="T108" s="240">
        <v>230</v>
      </c>
      <c r="U108" s="240">
        <v>91</v>
      </c>
      <c r="V108" s="240">
        <v>125</v>
      </c>
      <c r="W108" s="240">
        <v>132</v>
      </c>
      <c r="X108" s="240">
        <v>146</v>
      </c>
      <c r="Y108" s="240">
        <v>7631</v>
      </c>
      <c r="Z108" s="240">
        <v>1115</v>
      </c>
      <c r="AA108" s="240">
        <v>5248</v>
      </c>
      <c r="AB108" s="240">
        <v>109</v>
      </c>
      <c r="AC108" s="240">
        <v>21400</v>
      </c>
      <c r="AD108" s="240">
        <v>1128</v>
      </c>
      <c r="AE108" s="240">
        <v>68</v>
      </c>
      <c r="AF108" s="240">
        <v>3727</v>
      </c>
      <c r="AG108" s="240">
        <v>4455</v>
      </c>
      <c r="AH108" s="240">
        <v>1688</v>
      </c>
      <c r="AI108" s="240">
        <v>5953</v>
      </c>
      <c r="AJ108" s="240">
        <v>48488</v>
      </c>
      <c r="AK108" s="97">
        <f t="shared" si="96"/>
        <v>141888</v>
      </c>
    </row>
    <row r="109" spans="1:37" x14ac:dyDescent="0.15">
      <c r="A109" s="4" t="str">
        <f t="shared" si="94"/>
        <v>2017-01</v>
      </c>
      <c r="B109" s="193">
        <f t="shared" si="81"/>
        <v>588</v>
      </c>
      <c r="C109" s="193">
        <f t="shared" si="82"/>
        <v>3973</v>
      </c>
      <c r="D109" s="193">
        <f t="shared" si="83"/>
        <v>18535</v>
      </c>
      <c r="E109" s="193">
        <f t="shared" si="84"/>
        <v>12713</v>
      </c>
      <c r="F109" s="193">
        <f t="shared" si="85"/>
        <v>184</v>
      </c>
      <c r="G109" s="193">
        <f t="shared" si="86"/>
        <v>13490</v>
      </c>
      <c r="H109" s="193">
        <f t="shared" si="87"/>
        <v>10810</v>
      </c>
      <c r="I109" s="193">
        <f t="shared" si="88"/>
        <v>6101</v>
      </c>
      <c r="J109" s="193">
        <f t="shared" si="89"/>
        <v>3435</v>
      </c>
      <c r="K109" s="193">
        <f t="shared" si="90"/>
        <v>1652</v>
      </c>
      <c r="L109" s="193">
        <f t="shared" si="91"/>
        <v>6164</v>
      </c>
      <c r="M109" s="193">
        <f t="shared" si="92"/>
        <v>55997</v>
      </c>
      <c r="N109" s="193">
        <f t="shared" si="93"/>
        <v>133642</v>
      </c>
      <c r="P109" s="98" t="str">
        <f t="shared" si="95"/>
        <v>2017-01</v>
      </c>
      <c r="Q109" s="240">
        <v>3973</v>
      </c>
      <c r="R109" s="240">
        <v>18535</v>
      </c>
      <c r="S109" s="240">
        <v>12713</v>
      </c>
      <c r="T109" s="240">
        <v>184</v>
      </c>
      <c r="U109" s="240">
        <v>90</v>
      </c>
      <c r="V109" s="240">
        <v>179</v>
      </c>
      <c r="W109" s="240">
        <v>142</v>
      </c>
      <c r="X109" s="240">
        <v>177</v>
      </c>
      <c r="Y109" s="240">
        <v>7006</v>
      </c>
      <c r="Z109" s="240">
        <v>1109</v>
      </c>
      <c r="AA109" s="240">
        <v>5374</v>
      </c>
      <c r="AB109" s="240">
        <v>1</v>
      </c>
      <c r="AC109" s="240">
        <v>10810</v>
      </c>
      <c r="AD109" s="240">
        <v>1176</v>
      </c>
      <c r="AE109" s="240">
        <v>88</v>
      </c>
      <c r="AF109" s="240">
        <v>4837</v>
      </c>
      <c r="AG109" s="240">
        <v>3435</v>
      </c>
      <c r="AH109" s="240">
        <v>1652</v>
      </c>
      <c r="AI109" s="240">
        <v>6164</v>
      </c>
      <c r="AJ109" s="240">
        <v>55997</v>
      </c>
      <c r="AK109" s="97">
        <f t="shared" si="96"/>
        <v>133642</v>
      </c>
    </row>
    <row r="110" spans="1:37" x14ac:dyDescent="0.15">
      <c r="A110" s="4" t="str">
        <f t="shared" si="94"/>
        <v>2017-02</v>
      </c>
      <c r="B110" s="193">
        <f t="shared" si="81"/>
        <v>640</v>
      </c>
      <c r="C110" s="193">
        <f t="shared" si="82"/>
        <v>4396</v>
      </c>
      <c r="D110" s="193">
        <f t="shared" si="83"/>
        <v>18604</v>
      </c>
      <c r="E110" s="193">
        <f t="shared" si="84"/>
        <v>13331</v>
      </c>
      <c r="F110" s="193">
        <f t="shared" si="85"/>
        <v>139</v>
      </c>
      <c r="G110" s="193">
        <f t="shared" si="86"/>
        <v>14030</v>
      </c>
      <c r="H110" s="193">
        <f t="shared" si="87"/>
        <v>11537</v>
      </c>
      <c r="I110" s="193">
        <f t="shared" si="88"/>
        <v>5603</v>
      </c>
      <c r="J110" s="193">
        <f t="shared" si="89"/>
        <v>3397</v>
      </c>
      <c r="K110" s="193">
        <f t="shared" si="90"/>
        <v>1308</v>
      </c>
      <c r="L110" s="193">
        <f t="shared" si="91"/>
        <v>6442</v>
      </c>
      <c r="M110" s="193">
        <f t="shared" si="92"/>
        <v>68000</v>
      </c>
      <c r="N110" s="193">
        <f t="shared" si="93"/>
        <v>147427</v>
      </c>
      <c r="P110" s="98" t="str">
        <f t="shared" si="95"/>
        <v>2017-02</v>
      </c>
      <c r="Q110" s="240">
        <v>4396</v>
      </c>
      <c r="R110" s="240">
        <v>18604</v>
      </c>
      <c r="S110" s="240">
        <v>13331</v>
      </c>
      <c r="T110" s="240">
        <v>139</v>
      </c>
      <c r="U110" s="240">
        <v>106</v>
      </c>
      <c r="V110" s="240">
        <v>189</v>
      </c>
      <c r="W110" s="240">
        <v>126</v>
      </c>
      <c r="X110" s="240">
        <v>219</v>
      </c>
      <c r="Y110" s="240">
        <v>6740</v>
      </c>
      <c r="Z110" s="240">
        <v>1317</v>
      </c>
      <c r="AA110" s="240">
        <v>5972</v>
      </c>
      <c r="AB110" s="240">
        <v>1</v>
      </c>
      <c r="AC110" s="240">
        <v>11537</v>
      </c>
      <c r="AD110" s="240">
        <v>1159</v>
      </c>
      <c r="AE110" s="240">
        <v>72</v>
      </c>
      <c r="AF110" s="240">
        <v>4372</v>
      </c>
      <c r="AG110" s="240">
        <v>3397</v>
      </c>
      <c r="AH110" s="240">
        <v>1308</v>
      </c>
      <c r="AI110" s="240">
        <v>6442</v>
      </c>
      <c r="AJ110" s="240">
        <v>68000</v>
      </c>
      <c r="AK110" s="97">
        <f t="shared" si="96"/>
        <v>147427</v>
      </c>
    </row>
    <row r="111" spans="1:37" x14ac:dyDescent="0.15">
      <c r="A111" s="4" t="str">
        <f t="shared" si="94"/>
        <v>2017-03</v>
      </c>
      <c r="B111" s="193">
        <f t="shared" si="81"/>
        <v>840</v>
      </c>
      <c r="C111" s="193">
        <f t="shared" si="82"/>
        <v>5380</v>
      </c>
      <c r="D111" s="193">
        <f t="shared" si="83"/>
        <v>20413</v>
      </c>
      <c r="E111" s="193">
        <f t="shared" si="84"/>
        <v>13828</v>
      </c>
      <c r="F111" s="193">
        <f t="shared" si="85"/>
        <v>133</v>
      </c>
      <c r="G111" s="193">
        <f t="shared" si="86"/>
        <v>18023</v>
      </c>
      <c r="H111" s="193">
        <f t="shared" si="87"/>
        <v>10483</v>
      </c>
      <c r="I111" s="193">
        <f t="shared" si="88"/>
        <v>4881</v>
      </c>
      <c r="J111" s="193">
        <f t="shared" si="89"/>
        <v>5046</v>
      </c>
      <c r="K111" s="193">
        <f t="shared" si="90"/>
        <v>1407</v>
      </c>
      <c r="L111" s="193">
        <f t="shared" si="91"/>
        <v>3223</v>
      </c>
      <c r="M111" s="193">
        <f t="shared" si="92"/>
        <v>68814</v>
      </c>
      <c r="N111" s="193">
        <f t="shared" si="93"/>
        <v>152471</v>
      </c>
      <c r="P111" s="98" t="str">
        <f t="shared" si="95"/>
        <v>2017-03</v>
      </c>
      <c r="Q111" s="240">
        <v>5380</v>
      </c>
      <c r="R111" s="240">
        <v>20413</v>
      </c>
      <c r="S111" s="240">
        <v>13828</v>
      </c>
      <c r="T111" s="240">
        <v>133</v>
      </c>
      <c r="U111" s="240">
        <v>135</v>
      </c>
      <c r="V111" s="240">
        <v>263</v>
      </c>
      <c r="W111" s="240">
        <v>167</v>
      </c>
      <c r="X111" s="240">
        <v>275</v>
      </c>
      <c r="Y111" s="240">
        <v>8128</v>
      </c>
      <c r="Z111" s="240">
        <v>2301</v>
      </c>
      <c r="AA111" s="240">
        <v>7593</v>
      </c>
      <c r="AB111" s="240">
        <v>1</v>
      </c>
      <c r="AC111" s="240">
        <v>10483</v>
      </c>
      <c r="AD111" s="240">
        <v>1163</v>
      </c>
      <c r="AE111" s="240">
        <v>0</v>
      </c>
      <c r="AF111" s="240">
        <v>3718</v>
      </c>
      <c r="AG111" s="240">
        <v>5046</v>
      </c>
      <c r="AH111" s="240">
        <v>1407</v>
      </c>
      <c r="AI111" s="240">
        <v>3223</v>
      </c>
      <c r="AJ111" s="240">
        <v>68814</v>
      </c>
      <c r="AK111" s="97">
        <f t="shared" si="96"/>
        <v>152471</v>
      </c>
    </row>
    <row r="112" spans="1:37" x14ac:dyDescent="0.15">
      <c r="A112" s="4" t="str">
        <f t="shared" si="94"/>
        <v>2017-04</v>
      </c>
      <c r="B112" s="193">
        <f t="shared" si="81"/>
        <v>818</v>
      </c>
      <c r="C112" s="193">
        <f t="shared" si="82"/>
        <v>5497</v>
      </c>
      <c r="D112" s="193">
        <f t="shared" si="83"/>
        <v>21593</v>
      </c>
      <c r="E112" s="193">
        <f t="shared" si="84"/>
        <v>12375</v>
      </c>
      <c r="F112" s="193">
        <f t="shared" si="85"/>
        <v>185</v>
      </c>
      <c r="G112" s="193">
        <f t="shared" si="86"/>
        <v>16765</v>
      </c>
      <c r="H112" s="193">
        <f t="shared" si="87"/>
        <v>42830</v>
      </c>
      <c r="I112" s="193">
        <f t="shared" si="88"/>
        <v>3847</v>
      </c>
      <c r="J112" s="193">
        <f t="shared" si="89"/>
        <v>5161</v>
      </c>
      <c r="K112" s="193">
        <f t="shared" si="90"/>
        <v>1729</v>
      </c>
      <c r="L112" s="193">
        <f t="shared" si="91"/>
        <v>7042</v>
      </c>
      <c r="M112" s="193">
        <f t="shared" si="92"/>
        <v>29710</v>
      </c>
      <c r="N112" s="193">
        <f t="shared" si="93"/>
        <v>147552</v>
      </c>
      <c r="P112" s="98" t="str">
        <f t="shared" si="95"/>
        <v>2017-04</v>
      </c>
      <c r="Q112" s="240">
        <v>5497</v>
      </c>
      <c r="R112" s="240">
        <v>21593</v>
      </c>
      <c r="S112" s="240">
        <v>12375</v>
      </c>
      <c r="T112" s="240">
        <v>185</v>
      </c>
      <c r="U112" s="240">
        <v>134</v>
      </c>
      <c r="V112" s="240">
        <v>282</v>
      </c>
      <c r="W112" s="240">
        <v>157</v>
      </c>
      <c r="X112" s="240">
        <v>245</v>
      </c>
      <c r="Y112" s="240">
        <v>7679</v>
      </c>
      <c r="Z112" s="240">
        <v>2139</v>
      </c>
      <c r="AA112" s="240">
        <v>6946</v>
      </c>
      <c r="AB112" s="240">
        <v>1</v>
      </c>
      <c r="AC112" s="240">
        <v>42830</v>
      </c>
      <c r="AD112" s="240">
        <v>1205</v>
      </c>
      <c r="AE112" s="240">
        <v>0</v>
      </c>
      <c r="AF112" s="240">
        <v>2642</v>
      </c>
      <c r="AG112" s="240">
        <v>5161</v>
      </c>
      <c r="AH112" s="240">
        <v>1729</v>
      </c>
      <c r="AI112" s="240">
        <v>7042</v>
      </c>
      <c r="AJ112" s="240">
        <v>29710</v>
      </c>
      <c r="AK112" s="97">
        <f t="shared" si="96"/>
        <v>147552</v>
      </c>
    </row>
    <row r="113" spans="1:37" x14ac:dyDescent="0.15">
      <c r="A113" s="4" t="str">
        <f t="shared" si="94"/>
        <v>2017-05</v>
      </c>
      <c r="B113" s="193">
        <f t="shared" si="81"/>
        <v>789</v>
      </c>
      <c r="C113" s="193">
        <f t="shared" si="82"/>
        <v>9455</v>
      </c>
      <c r="D113" s="193">
        <f t="shared" si="83"/>
        <v>20489</v>
      </c>
      <c r="E113" s="193">
        <f t="shared" si="84"/>
        <v>12462</v>
      </c>
      <c r="F113" s="193">
        <f t="shared" si="85"/>
        <v>150</v>
      </c>
      <c r="G113" s="193">
        <f t="shared" si="86"/>
        <v>16414</v>
      </c>
      <c r="H113" s="193">
        <f t="shared" si="87"/>
        <v>41807</v>
      </c>
      <c r="I113" s="193">
        <f t="shared" si="88"/>
        <v>3774</v>
      </c>
      <c r="J113" s="193">
        <f t="shared" si="89"/>
        <v>4184</v>
      </c>
      <c r="K113" s="193">
        <f t="shared" si="90"/>
        <v>1572</v>
      </c>
      <c r="L113" s="193">
        <f t="shared" si="91"/>
        <v>6832</v>
      </c>
      <c r="M113" s="193">
        <f t="shared" si="92"/>
        <v>9534</v>
      </c>
      <c r="N113" s="193">
        <f t="shared" si="93"/>
        <v>127462</v>
      </c>
      <c r="P113" s="98" t="str">
        <f t="shared" si="95"/>
        <v>2017-05</v>
      </c>
      <c r="Q113" s="240">
        <v>9455</v>
      </c>
      <c r="R113" s="240">
        <v>20489</v>
      </c>
      <c r="S113" s="240">
        <v>12462</v>
      </c>
      <c r="T113" s="240">
        <v>150</v>
      </c>
      <c r="U113" s="240">
        <v>125</v>
      </c>
      <c r="V113" s="240">
        <v>256</v>
      </c>
      <c r="W113" s="240">
        <v>156</v>
      </c>
      <c r="X113" s="240">
        <v>252</v>
      </c>
      <c r="Y113" s="240">
        <v>7456</v>
      </c>
      <c r="Z113" s="240">
        <v>2136</v>
      </c>
      <c r="AA113" s="240">
        <v>6821</v>
      </c>
      <c r="AB113" s="240">
        <v>1</v>
      </c>
      <c r="AC113" s="240">
        <v>41807</v>
      </c>
      <c r="AD113" s="240">
        <v>1095</v>
      </c>
      <c r="AE113" s="240">
        <v>0</v>
      </c>
      <c r="AF113" s="240">
        <v>2679</v>
      </c>
      <c r="AG113" s="240">
        <v>4184</v>
      </c>
      <c r="AH113" s="240">
        <v>1572</v>
      </c>
      <c r="AI113" s="240">
        <v>6832</v>
      </c>
      <c r="AJ113" s="240">
        <v>9534</v>
      </c>
      <c r="AK113" s="97">
        <f t="shared" si="96"/>
        <v>127462</v>
      </c>
    </row>
    <row r="114" spans="1:37" x14ac:dyDescent="0.15">
      <c r="A114" s="4" t="str">
        <f t="shared" si="94"/>
        <v>2017-06</v>
      </c>
      <c r="B114" s="193">
        <f t="shared" si="81"/>
        <v>746</v>
      </c>
      <c r="C114" s="193">
        <f t="shared" si="82"/>
        <v>7369</v>
      </c>
      <c r="D114" s="193">
        <f t="shared" si="83"/>
        <v>19266</v>
      </c>
      <c r="E114" s="193">
        <f t="shared" si="84"/>
        <v>11025</v>
      </c>
      <c r="F114" s="193">
        <f t="shared" si="85"/>
        <v>1532</v>
      </c>
      <c r="G114" s="193">
        <f t="shared" si="86"/>
        <v>13729</v>
      </c>
      <c r="H114" s="193">
        <f t="shared" si="87"/>
        <v>5489</v>
      </c>
      <c r="I114" s="193">
        <f t="shared" si="88"/>
        <v>3499</v>
      </c>
      <c r="J114" s="193">
        <f t="shared" si="89"/>
        <v>3336</v>
      </c>
      <c r="K114" s="193">
        <f t="shared" si="90"/>
        <v>1407</v>
      </c>
      <c r="L114" s="193">
        <f t="shared" si="91"/>
        <v>6419</v>
      </c>
      <c r="M114" s="193">
        <f t="shared" si="92"/>
        <v>7571</v>
      </c>
      <c r="N114" s="193">
        <f t="shared" si="93"/>
        <v>81388</v>
      </c>
      <c r="P114" s="98" t="str">
        <f t="shared" si="95"/>
        <v>2017-06</v>
      </c>
      <c r="Q114" s="240">
        <v>7369</v>
      </c>
      <c r="R114" s="240">
        <v>19266</v>
      </c>
      <c r="S114" s="240">
        <v>11025</v>
      </c>
      <c r="T114" s="240">
        <v>1532</v>
      </c>
      <c r="U114" s="240">
        <v>122</v>
      </c>
      <c r="V114" s="240">
        <v>237</v>
      </c>
      <c r="W114" s="240">
        <v>145</v>
      </c>
      <c r="X114" s="240">
        <v>242</v>
      </c>
      <c r="Y114" s="240">
        <v>6434</v>
      </c>
      <c r="Z114" s="240">
        <v>1911</v>
      </c>
      <c r="AA114" s="240">
        <v>5382</v>
      </c>
      <c r="AB114" s="240">
        <v>2</v>
      </c>
      <c r="AC114" s="240">
        <v>5489</v>
      </c>
      <c r="AD114" s="240">
        <v>982</v>
      </c>
      <c r="AE114" s="240">
        <v>0</v>
      </c>
      <c r="AF114" s="240">
        <v>2517</v>
      </c>
      <c r="AG114" s="240">
        <v>3336</v>
      </c>
      <c r="AH114" s="240">
        <v>1407</v>
      </c>
      <c r="AI114" s="240">
        <v>6419</v>
      </c>
      <c r="AJ114" s="240">
        <v>7571</v>
      </c>
      <c r="AK114" s="97">
        <f t="shared" si="96"/>
        <v>81388</v>
      </c>
    </row>
    <row r="115" spans="1:37" x14ac:dyDescent="0.15">
      <c r="A115" s="4" t="str">
        <f t="shared" si="94"/>
        <v>2017-07</v>
      </c>
      <c r="B115" s="193">
        <f t="shared" si="81"/>
        <v>619</v>
      </c>
      <c r="C115" s="193">
        <f t="shared" si="82"/>
        <v>7456</v>
      </c>
      <c r="D115" s="193">
        <f t="shared" si="83"/>
        <v>17898</v>
      </c>
      <c r="E115" s="193">
        <f t="shared" si="84"/>
        <v>9586</v>
      </c>
      <c r="F115" s="193">
        <f t="shared" si="85"/>
        <v>1625</v>
      </c>
      <c r="G115" s="193">
        <f t="shared" si="86"/>
        <v>13095</v>
      </c>
      <c r="H115" s="193">
        <f t="shared" si="87"/>
        <v>3057</v>
      </c>
      <c r="I115" s="193">
        <f t="shared" si="88"/>
        <v>2852</v>
      </c>
      <c r="J115" s="193">
        <f t="shared" si="89"/>
        <v>3497</v>
      </c>
      <c r="K115" s="193">
        <f t="shared" si="90"/>
        <v>1333</v>
      </c>
      <c r="L115" s="193">
        <f t="shared" si="91"/>
        <v>6139</v>
      </c>
      <c r="M115" s="193">
        <f t="shared" si="92"/>
        <v>8164</v>
      </c>
      <c r="N115" s="193">
        <f t="shared" si="93"/>
        <v>75321</v>
      </c>
      <c r="P115" s="98" t="str">
        <f t="shared" si="95"/>
        <v>2017-07</v>
      </c>
      <c r="Q115" s="240">
        <v>7456</v>
      </c>
      <c r="R115" s="240">
        <v>17898</v>
      </c>
      <c r="S115" s="240">
        <v>9586</v>
      </c>
      <c r="T115" s="240">
        <v>1625</v>
      </c>
      <c r="U115" s="240">
        <v>71</v>
      </c>
      <c r="V115" s="240">
        <v>203</v>
      </c>
      <c r="W115" s="240">
        <v>129</v>
      </c>
      <c r="X115" s="240">
        <v>216</v>
      </c>
      <c r="Y115" s="240">
        <v>6320</v>
      </c>
      <c r="Z115" s="240">
        <v>1796</v>
      </c>
      <c r="AA115" s="240">
        <v>4978</v>
      </c>
      <c r="AB115" s="240">
        <v>1</v>
      </c>
      <c r="AC115" s="240">
        <v>3057</v>
      </c>
      <c r="AD115" s="240">
        <v>760</v>
      </c>
      <c r="AE115" s="240">
        <v>0</v>
      </c>
      <c r="AF115" s="240">
        <v>2092</v>
      </c>
      <c r="AG115" s="240">
        <v>3497</v>
      </c>
      <c r="AH115" s="240">
        <v>1333</v>
      </c>
      <c r="AI115" s="240">
        <v>6139</v>
      </c>
      <c r="AJ115" s="240">
        <v>8164</v>
      </c>
      <c r="AK115" s="97">
        <f t="shared" si="96"/>
        <v>75321</v>
      </c>
    </row>
    <row r="116" spans="1:37" x14ac:dyDescent="0.15">
      <c r="A116" s="4" t="str">
        <f t="shared" si="94"/>
        <v>2017-08</v>
      </c>
      <c r="B116" s="193">
        <f t="shared" si="81"/>
        <v>608</v>
      </c>
      <c r="C116" s="193">
        <f t="shared" si="82"/>
        <v>8798</v>
      </c>
      <c r="D116" s="193">
        <f t="shared" si="83"/>
        <v>20721</v>
      </c>
      <c r="E116" s="193">
        <f t="shared" si="84"/>
        <v>9106</v>
      </c>
      <c r="F116" s="193">
        <f t="shared" si="85"/>
        <v>1476</v>
      </c>
      <c r="G116" s="193">
        <f t="shared" si="86"/>
        <v>13752</v>
      </c>
      <c r="H116" s="193">
        <f t="shared" si="87"/>
        <v>2030</v>
      </c>
      <c r="I116" s="193">
        <f t="shared" si="88"/>
        <v>2410</v>
      </c>
      <c r="J116" s="193">
        <f t="shared" si="89"/>
        <v>3567</v>
      </c>
      <c r="K116" s="193">
        <f t="shared" si="90"/>
        <v>1579</v>
      </c>
      <c r="L116" s="193">
        <f t="shared" si="91"/>
        <v>5839</v>
      </c>
      <c r="M116" s="193">
        <f t="shared" si="92"/>
        <v>7280</v>
      </c>
      <c r="N116" s="193">
        <f t="shared" si="93"/>
        <v>77166</v>
      </c>
      <c r="P116" s="98" t="str">
        <f t="shared" si="95"/>
        <v>2017-08</v>
      </c>
      <c r="Q116" s="240">
        <v>8798</v>
      </c>
      <c r="R116" s="240">
        <v>20721</v>
      </c>
      <c r="S116" s="240">
        <v>9106</v>
      </c>
      <c r="T116" s="240">
        <v>1476</v>
      </c>
      <c r="U116" s="240">
        <v>37</v>
      </c>
      <c r="V116" s="240">
        <v>217</v>
      </c>
      <c r="W116" s="240">
        <v>132</v>
      </c>
      <c r="X116" s="240">
        <v>222</v>
      </c>
      <c r="Y116" s="240">
        <v>6282</v>
      </c>
      <c r="Z116" s="240">
        <v>1925</v>
      </c>
      <c r="AA116" s="240">
        <v>5545</v>
      </c>
      <c r="AB116" s="240">
        <v>0</v>
      </c>
      <c r="AC116" s="240">
        <v>2030</v>
      </c>
      <c r="AD116" s="240">
        <v>511</v>
      </c>
      <c r="AE116" s="240">
        <v>0</v>
      </c>
      <c r="AF116" s="240">
        <v>1899</v>
      </c>
      <c r="AG116" s="240">
        <v>3567</v>
      </c>
      <c r="AH116" s="240">
        <v>1579</v>
      </c>
      <c r="AI116" s="240">
        <v>5839</v>
      </c>
      <c r="AJ116" s="240">
        <v>7280</v>
      </c>
      <c r="AK116" s="97">
        <f t="shared" si="96"/>
        <v>77166</v>
      </c>
    </row>
    <row r="117" spans="1:37" x14ac:dyDescent="0.15">
      <c r="A117" s="4" t="str">
        <f t="shared" si="94"/>
        <v>2017-09</v>
      </c>
      <c r="B117" s="193">
        <f t="shared" si="81"/>
        <v>484</v>
      </c>
      <c r="C117" s="193">
        <f t="shared" si="82"/>
        <v>8874</v>
      </c>
      <c r="D117" s="193">
        <f t="shared" si="83"/>
        <v>23981</v>
      </c>
      <c r="E117" s="193">
        <f t="shared" si="84"/>
        <v>9261</v>
      </c>
      <c r="F117" s="193">
        <f t="shared" si="85"/>
        <v>1946</v>
      </c>
      <c r="G117" s="193">
        <f t="shared" si="86"/>
        <v>15244</v>
      </c>
      <c r="H117" s="193">
        <f t="shared" si="87"/>
        <v>3141</v>
      </c>
      <c r="I117" s="193">
        <f t="shared" si="88"/>
        <v>1366</v>
      </c>
      <c r="J117" s="193">
        <f t="shared" si="89"/>
        <v>4092</v>
      </c>
      <c r="K117" s="193">
        <f t="shared" si="90"/>
        <v>1380</v>
      </c>
      <c r="L117" s="193">
        <f t="shared" si="91"/>
        <v>5966</v>
      </c>
      <c r="M117" s="193">
        <f t="shared" si="92"/>
        <v>7904</v>
      </c>
      <c r="N117" s="193">
        <f t="shared" si="93"/>
        <v>83639</v>
      </c>
      <c r="P117" s="98" t="str">
        <f t="shared" si="95"/>
        <v>2017-09</v>
      </c>
      <c r="Q117" s="240">
        <v>8874</v>
      </c>
      <c r="R117" s="240">
        <v>23981</v>
      </c>
      <c r="S117" s="240">
        <v>9261</v>
      </c>
      <c r="T117" s="240">
        <v>1946</v>
      </c>
      <c r="U117" s="240">
        <v>29</v>
      </c>
      <c r="V117" s="240">
        <v>169</v>
      </c>
      <c r="W117" s="240">
        <v>124</v>
      </c>
      <c r="X117" s="240">
        <v>162</v>
      </c>
      <c r="Y117" s="240">
        <v>7360</v>
      </c>
      <c r="Z117" s="240">
        <v>1978</v>
      </c>
      <c r="AA117" s="240">
        <v>5906</v>
      </c>
      <c r="AB117" s="240">
        <v>0</v>
      </c>
      <c r="AC117" s="240">
        <v>3141</v>
      </c>
      <c r="AD117" s="240">
        <v>494</v>
      </c>
      <c r="AE117" s="240">
        <v>0</v>
      </c>
      <c r="AF117" s="240">
        <v>872</v>
      </c>
      <c r="AG117" s="240">
        <v>4092</v>
      </c>
      <c r="AH117" s="240">
        <v>1380</v>
      </c>
      <c r="AI117" s="240">
        <v>5966</v>
      </c>
      <c r="AJ117" s="240">
        <v>7904</v>
      </c>
      <c r="AK117" s="97">
        <f t="shared" si="96"/>
        <v>83639</v>
      </c>
    </row>
    <row r="118" spans="1:37" x14ac:dyDescent="0.15">
      <c r="A118" s="8" t="s">
        <v>20</v>
      </c>
      <c r="B118" s="193">
        <f>SUM(B106:B117)</f>
        <v>7782</v>
      </c>
      <c r="C118" s="193">
        <f t="shared" ref="C118:M118" si="97">SUM(C106:C117)</f>
        <v>73955</v>
      </c>
      <c r="D118" s="193">
        <f t="shared" si="97"/>
        <v>341686</v>
      </c>
      <c r="E118" s="193">
        <f t="shared" si="97"/>
        <v>155549</v>
      </c>
      <c r="F118" s="193">
        <f t="shared" si="97"/>
        <v>8161</v>
      </c>
      <c r="G118" s="193">
        <f t="shared" si="97"/>
        <v>179299</v>
      </c>
      <c r="H118" s="193">
        <f t="shared" si="97"/>
        <v>252469</v>
      </c>
      <c r="I118" s="193">
        <f t="shared" si="97"/>
        <v>47856</v>
      </c>
      <c r="J118" s="193">
        <f t="shared" si="97"/>
        <v>49286</v>
      </c>
      <c r="K118" s="193">
        <f t="shared" si="97"/>
        <v>19494</v>
      </c>
      <c r="L118" s="193">
        <f t="shared" si="97"/>
        <v>73764</v>
      </c>
      <c r="M118" s="193">
        <f t="shared" si="97"/>
        <v>431594</v>
      </c>
      <c r="N118" s="193">
        <f t="shared" si="93"/>
        <v>1640895</v>
      </c>
      <c r="P118" s="97" t="s">
        <v>20</v>
      </c>
      <c r="Q118" s="97">
        <f>SUM(Q106:Q117)</f>
        <v>73955</v>
      </c>
      <c r="R118" s="97">
        <f t="shared" ref="R118:AK118" si="98">SUM(R106:R117)</f>
        <v>341686</v>
      </c>
      <c r="S118" s="97">
        <f t="shared" si="98"/>
        <v>155549</v>
      </c>
      <c r="T118" s="97">
        <f t="shared" si="98"/>
        <v>8161</v>
      </c>
      <c r="U118" s="97">
        <f t="shared" si="98"/>
        <v>1118</v>
      </c>
      <c r="V118" s="97">
        <f t="shared" si="98"/>
        <v>2412</v>
      </c>
      <c r="W118" s="97">
        <f t="shared" si="98"/>
        <v>1698</v>
      </c>
      <c r="X118" s="97">
        <f t="shared" si="98"/>
        <v>2554</v>
      </c>
      <c r="Y118" s="97">
        <f t="shared" si="98"/>
        <v>86364</v>
      </c>
      <c r="Z118" s="97">
        <f t="shared" si="98"/>
        <v>20346</v>
      </c>
      <c r="AA118" s="97">
        <f t="shared" si="98"/>
        <v>72065</v>
      </c>
      <c r="AB118" s="97">
        <f t="shared" si="98"/>
        <v>524</v>
      </c>
      <c r="AC118" s="97">
        <f t="shared" si="98"/>
        <v>252469</v>
      </c>
      <c r="AD118" s="97">
        <f t="shared" si="98"/>
        <v>12187</v>
      </c>
      <c r="AE118" s="97">
        <f t="shared" si="98"/>
        <v>364</v>
      </c>
      <c r="AF118" s="97">
        <f t="shared" si="98"/>
        <v>35305</v>
      </c>
      <c r="AG118" s="97">
        <f t="shared" si="98"/>
        <v>49286</v>
      </c>
      <c r="AH118" s="97">
        <f t="shared" si="98"/>
        <v>19494</v>
      </c>
      <c r="AI118" s="97">
        <f t="shared" si="98"/>
        <v>73764</v>
      </c>
      <c r="AJ118" s="97">
        <f t="shared" si="98"/>
        <v>431594</v>
      </c>
      <c r="AK118" s="97">
        <f t="shared" si="98"/>
        <v>1640895</v>
      </c>
    </row>
    <row r="119" spans="1:37" x14ac:dyDescent="0.15">
      <c r="A119" s="15" t="s">
        <v>37</v>
      </c>
      <c r="B119" s="27">
        <f>AVERAGE(B106:B117)</f>
        <v>648.5</v>
      </c>
      <c r="C119" s="27">
        <f t="shared" ref="C119:M119" si="99">AVERAGE(C106:C117)</f>
        <v>6162.916666666667</v>
      </c>
      <c r="D119" s="27">
        <f t="shared" si="99"/>
        <v>28473.833333333332</v>
      </c>
      <c r="E119" s="27">
        <f t="shared" si="99"/>
        <v>12962.416666666666</v>
      </c>
      <c r="F119" s="27">
        <f t="shared" si="99"/>
        <v>680.08333333333337</v>
      </c>
      <c r="G119" s="27">
        <f t="shared" si="99"/>
        <v>14941.583333333334</v>
      </c>
      <c r="H119" s="27">
        <f t="shared" si="99"/>
        <v>21039.083333333332</v>
      </c>
      <c r="I119" s="27">
        <f t="shared" si="99"/>
        <v>3988</v>
      </c>
      <c r="J119" s="27">
        <f t="shared" si="99"/>
        <v>4107.166666666667</v>
      </c>
      <c r="K119" s="27">
        <f t="shared" si="99"/>
        <v>1624.5</v>
      </c>
      <c r="L119" s="27">
        <f t="shared" si="99"/>
        <v>6147</v>
      </c>
      <c r="M119" s="27">
        <f t="shared" si="99"/>
        <v>35966.166666666664</v>
      </c>
      <c r="N119" s="28"/>
    </row>
    <row r="120" spans="1:37" x14ac:dyDescent="0.15">
      <c r="A120" s="54" t="s">
        <v>138</v>
      </c>
      <c r="B120" s="241">
        <v>4698</v>
      </c>
      <c r="C120" s="241">
        <v>53604</v>
      </c>
      <c r="D120" s="241">
        <v>262451</v>
      </c>
      <c r="E120" s="241">
        <v>108812</v>
      </c>
      <c r="F120" s="241">
        <v>6844</v>
      </c>
      <c r="G120" s="241">
        <v>140461</v>
      </c>
      <c r="H120" s="241">
        <v>226661</v>
      </c>
      <c r="I120" s="241">
        <v>36012</v>
      </c>
      <c r="J120" s="241">
        <v>34716</v>
      </c>
      <c r="K120" s="241">
        <v>16006</v>
      </c>
      <c r="L120" s="241">
        <v>57284</v>
      </c>
      <c r="M120" s="241">
        <v>368768</v>
      </c>
      <c r="N120" s="26">
        <f>SUM(B120:M120)</f>
        <v>1316317</v>
      </c>
      <c r="O120" s="54" t="s">
        <v>140</v>
      </c>
    </row>
    <row r="121" spans="1:37" x14ac:dyDescent="0.15">
      <c r="A121" s="54" t="s">
        <v>137</v>
      </c>
      <c r="B121" s="192">
        <v>4102</v>
      </c>
      <c r="C121" s="192">
        <v>20597</v>
      </c>
      <c r="D121" s="192">
        <v>239164</v>
      </c>
      <c r="E121" s="192">
        <v>277044</v>
      </c>
      <c r="F121" s="192">
        <v>3112</v>
      </c>
      <c r="G121" s="192">
        <v>281142</v>
      </c>
      <c r="H121" s="192">
        <v>252797</v>
      </c>
      <c r="I121" s="192">
        <v>25389</v>
      </c>
      <c r="J121" s="192">
        <v>37578</v>
      </c>
      <c r="K121" s="192">
        <v>22302</v>
      </c>
      <c r="L121" s="192">
        <v>40464</v>
      </c>
      <c r="M121" s="192">
        <v>627879</v>
      </c>
      <c r="N121" s="26">
        <f>SUM(B121:M121)</f>
        <v>1831570</v>
      </c>
    </row>
    <row r="123" spans="1:37" x14ac:dyDescent="0.15">
      <c r="B123" s="304" t="s">
        <v>38</v>
      </c>
      <c r="C123" s="305"/>
      <c r="D123" s="305"/>
      <c r="E123" s="305"/>
      <c r="F123" s="305"/>
      <c r="G123" s="305"/>
      <c r="H123" s="305"/>
      <c r="I123" s="305"/>
      <c r="J123" s="305"/>
      <c r="K123" s="305"/>
      <c r="L123" s="305"/>
      <c r="M123" s="305"/>
    </row>
    <row r="124" spans="1:37" x14ac:dyDescent="0.15">
      <c r="A124" s="15" t="s">
        <v>21</v>
      </c>
      <c r="B124" s="6" t="s">
        <v>7</v>
      </c>
      <c r="C124" s="6" t="s">
        <v>8</v>
      </c>
      <c r="D124" s="6" t="s">
        <v>9</v>
      </c>
      <c r="E124" s="6" t="s">
        <v>10</v>
      </c>
      <c r="F124" s="6" t="s">
        <v>11</v>
      </c>
      <c r="G124" s="4" t="s">
        <v>19</v>
      </c>
      <c r="H124" s="2" t="s">
        <v>12</v>
      </c>
      <c r="I124" s="4" t="s">
        <v>13</v>
      </c>
      <c r="J124" s="4" t="s">
        <v>24</v>
      </c>
      <c r="K124" s="4" t="s">
        <v>14</v>
      </c>
      <c r="L124" s="4" t="s">
        <v>17</v>
      </c>
      <c r="M124" s="4" t="s">
        <v>15</v>
      </c>
    </row>
    <row r="125" spans="1:37" x14ac:dyDescent="0.15">
      <c r="A125" s="16">
        <f>A89</f>
        <v>42644</v>
      </c>
      <c r="B125" s="29">
        <f>B106-B$119</f>
        <v>-16.5</v>
      </c>
      <c r="C125" s="29">
        <f t="shared" ref="C125:M125" si="100">C106-C$119</f>
        <v>-2018.916666666667</v>
      </c>
      <c r="D125" s="29">
        <f t="shared" si="100"/>
        <v>56175.166666666672</v>
      </c>
      <c r="E125" s="29">
        <f t="shared" si="100"/>
        <v>8831.5833333333339</v>
      </c>
      <c r="F125" s="29">
        <f t="shared" si="100"/>
        <v>-377.08333333333337</v>
      </c>
      <c r="G125" s="29">
        <f t="shared" si="100"/>
        <v>-599.58333333333394</v>
      </c>
      <c r="H125" s="29">
        <f t="shared" si="100"/>
        <v>45922.916666666672</v>
      </c>
      <c r="I125" s="29">
        <f t="shared" si="100"/>
        <v>-330</v>
      </c>
      <c r="J125" s="29">
        <f t="shared" si="100"/>
        <v>252.83333333333303</v>
      </c>
      <c r="K125" s="29">
        <f t="shared" si="100"/>
        <v>581.5</v>
      </c>
      <c r="L125" s="29">
        <f t="shared" si="100"/>
        <v>126</v>
      </c>
      <c r="M125" s="29">
        <f t="shared" si="100"/>
        <v>21447.833333333336</v>
      </c>
      <c r="N125" s="18"/>
      <c r="O125" s="18"/>
    </row>
    <row r="126" spans="1:37" x14ac:dyDescent="0.15">
      <c r="A126" s="16">
        <f t="shared" ref="A126:A136" si="101">A90</f>
        <v>42675</v>
      </c>
      <c r="B126" s="29">
        <f t="shared" ref="B126:M126" si="102">B107-B$119</f>
        <v>-124.5</v>
      </c>
      <c r="C126" s="29">
        <f t="shared" si="102"/>
        <v>-1270.916666666667</v>
      </c>
      <c r="D126" s="29">
        <f t="shared" si="102"/>
        <v>23878.166666666668</v>
      </c>
      <c r="E126" s="29">
        <f t="shared" si="102"/>
        <v>3857.5833333333339</v>
      </c>
      <c r="F126" s="29">
        <f t="shared" si="102"/>
        <v>-422.08333333333337</v>
      </c>
      <c r="G126" s="29">
        <f t="shared" si="102"/>
        <v>1370.4166666666661</v>
      </c>
      <c r="H126" s="29">
        <f t="shared" si="102"/>
        <v>11883.916666666668</v>
      </c>
      <c r="I126" s="29">
        <f t="shared" si="102"/>
        <v>954</v>
      </c>
      <c r="J126" s="29">
        <f t="shared" si="102"/>
        <v>648.83333333333303</v>
      </c>
      <c r="K126" s="29">
        <f t="shared" si="102"/>
        <v>608.5</v>
      </c>
      <c r="L126" s="29">
        <f t="shared" si="102"/>
        <v>1325</v>
      </c>
      <c r="M126" s="29">
        <f t="shared" si="102"/>
        <v>26751.833333333336</v>
      </c>
    </row>
    <row r="127" spans="1:37" x14ac:dyDescent="0.15">
      <c r="A127" s="16">
        <f t="shared" si="101"/>
        <v>42705</v>
      </c>
      <c r="B127" s="29">
        <f t="shared" ref="B127:M127" si="103">B108-B$119</f>
        <v>-154.5</v>
      </c>
      <c r="C127" s="29">
        <f t="shared" si="103"/>
        <v>-2441.916666666667</v>
      </c>
      <c r="D127" s="29">
        <f t="shared" si="103"/>
        <v>-5288.8333333333321</v>
      </c>
      <c r="E127" s="29">
        <f t="shared" si="103"/>
        <v>285.58333333333394</v>
      </c>
      <c r="F127" s="29">
        <f t="shared" si="103"/>
        <v>-450.08333333333337</v>
      </c>
      <c r="G127" s="29">
        <f t="shared" si="103"/>
        <v>-838.58333333333394</v>
      </c>
      <c r="H127" s="29">
        <f t="shared" si="103"/>
        <v>360.91666666666788</v>
      </c>
      <c r="I127" s="29">
        <f t="shared" si="103"/>
        <v>935</v>
      </c>
      <c r="J127" s="29">
        <f t="shared" si="103"/>
        <v>347.83333333333303</v>
      </c>
      <c r="K127" s="29">
        <f t="shared" si="103"/>
        <v>63.5</v>
      </c>
      <c r="L127" s="29">
        <f t="shared" si="103"/>
        <v>-194</v>
      </c>
      <c r="M127" s="29">
        <f t="shared" si="103"/>
        <v>12521.833333333336</v>
      </c>
    </row>
    <row r="128" spans="1:37" x14ac:dyDescent="0.15">
      <c r="A128" s="16">
        <f t="shared" si="101"/>
        <v>42736</v>
      </c>
      <c r="B128" s="29">
        <f t="shared" ref="B128:M128" si="104">B109-B$119</f>
        <v>-60.5</v>
      </c>
      <c r="C128" s="29">
        <f t="shared" si="104"/>
        <v>-2189.916666666667</v>
      </c>
      <c r="D128" s="29">
        <f t="shared" si="104"/>
        <v>-9938.8333333333321</v>
      </c>
      <c r="E128" s="29">
        <f t="shared" si="104"/>
        <v>-249.41666666666606</v>
      </c>
      <c r="F128" s="29">
        <f t="shared" si="104"/>
        <v>-496.08333333333337</v>
      </c>
      <c r="G128" s="29">
        <f t="shared" si="104"/>
        <v>-1451.5833333333339</v>
      </c>
      <c r="H128" s="29">
        <f t="shared" si="104"/>
        <v>-10229.083333333332</v>
      </c>
      <c r="I128" s="29">
        <f t="shared" si="104"/>
        <v>2113</v>
      </c>
      <c r="J128" s="29">
        <f t="shared" si="104"/>
        <v>-672.16666666666697</v>
      </c>
      <c r="K128" s="29">
        <f t="shared" si="104"/>
        <v>27.5</v>
      </c>
      <c r="L128" s="29">
        <f t="shared" si="104"/>
        <v>17</v>
      </c>
      <c r="M128" s="29">
        <f t="shared" si="104"/>
        <v>20030.833333333336</v>
      </c>
    </row>
    <row r="129" spans="1:14" x14ac:dyDescent="0.15">
      <c r="A129" s="16">
        <f t="shared" si="101"/>
        <v>42767</v>
      </c>
      <c r="B129" s="29">
        <f t="shared" ref="B129:M129" si="105">B110-B$119</f>
        <v>-8.5</v>
      </c>
      <c r="C129" s="29">
        <f t="shared" si="105"/>
        <v>-1766.916666666667</v>
      </c>
      <c r="D129" s="29">
        <f t="shared" si="105"/>
        <v>-9869.8333333333321</v>
      </c>
      <c r="E129" s="29">
        <f t="shared" si="105"/>
        <v>368.58333333333394</v>
      </c>
      <c r="F129" s="29">
        <f t="shared" si="105"/>
        <v>-541.08333333333337</v>
      </c>
      <c r="G129" s="29">
        <f t="shared" si="105"/>
        <v>-911.58333333333394</v>
      </c>
      <c r="H129" s="29">
        <f t="shared" si="105"/>
        <v>-9502.0833333333321</v>
      </c>
      <c r="I129" s="29">
        <f t="shared" si="105"/>
        <v>1615</v>
      </c>
      <c r="J129" s="29">
        <f t="shared" si="105"/>
        <v>-710.16666666666697</v>
      </c>
      <c r="K129" s="29">
        <f t="shared" si="105"/>
        <v>-316.5</v>
      </c>
      <c r="L129" s="29">
        <f t="shared" si="105"/>
        <v>295</v>
      </c>
      <c r="M129" s="29">
        <f t="shared" si="105"/>
        <v>32033.833333333336</v>
      </c>
    </row>
    <row r="130" spans="1:14" x14ac:dyDescent="0.15">
      <c r="A130" s="16">
        <f t="shared" si="101"/>
        <v>42795</v>
      </c>
      <c r="B130" s="29">
        <f t="shared" ref="B130:M130" si="106">B111-B$119</f>
        <v>191.5</v>
      </c>
      <c r="C130" s="29">
        <f t="shared" si="106"/>
        <v>-782.91666666666697</v>
      </c>
      <c r="D130" s="29">
        <f t="shared" si="106"/>
        <v>-8060.8333333333321</v>
      </c>
      <c r="E130" s="29">
        <f t="shared" si="106"/>
        <v>865.58333333333394</v>
      </c>
      <c r="F130" s="29">
        <f t="shared" si="106"/>
        <v>-547.08333333333337</v>
      </c>
      <c r="G130" s="29">
        <f t="shared" si="106"/>
        <v>3081.4166666666661</v>
      </c>
      <c r="H130" s="29">
        <f t="shared" si="106"/>
        <v>-10556.083333333332</v>
      </c>
      <c r="I130" s="29">
        <f t="shared" si="106"/>
        <v>893</v>
      </c>
      <c r="J130" s="29">
        <f t="shared" si="106"/>
        <v>938.83333333333303</v>
      </c>
      <c r="K130" s="29">
        <f t="shared" si="106"/>
        <v>-217.5</v>
      </c>
      <c r="L130" s="29">
        <f t="shared" si="106"/>
        <v>-2924</v>
      </c>
      <c r="M130" s="29">
        <f t="shared" si="106"/>
        <v>32847.833333333336</v>
      </c>
    </row>
    <row r="131" spans="1:14" x14ac:dyDescent="0.15">
      <c r="A131" s="16">
        <f t="shared" si="101"/>
        <v>42826</v>
      </c>
      <c r="B131" s="29">
        <f t="shared" ref="B131:M131" si="107">B112-B$119</f>
        <v>169.5</v>
      </c>
      <c r="C131" s="29">
        <f t="shared" si="107"/>
        <v>-665.91666666666697</v>
      </c>
      <c r="D131" s="29">
        <f t="shared" si="107"/>
        <v>-6880.8333333333321</v>
      </c>
      <c r="E131" s="29">
        <f t="shared" si="107"/>
        <v>-587.41666666666606</v>
      </c>
      <c r="F131" s="29">
        <f t="shared" si="107"/>
        <v>-495.08333333333337</v>
      </c>
      <c r="G131" s="29">
        <f t="shared" si="107"/>
        <v>1823.4166666666661</v>
      </c>
      <c r="H131" s="29">
        <f t="shared" si="107"/>
        <v>21790.916666666668</v>
      </c>
      <c r="I131" s="29">
        <f t="shared" si="107"/>
        <v>-141</v>
      </c>
      <c r="J131" s="29">
        <f t="shared" si="107"/>
        <v>1053.833333333333</v>
      </c>
      <c r="K131" s="29">
        <f t="shared" si="107"/>
        <v>104.5</v>
      </c>
      <c r="L131" s="29">
        <f t="shared" si="107"/>
        <v>895</v>
      </c>
      <c r="M131" s="29">
        <f t="shared" si="107"/>
        <v>-6256.1666666666642</v>
      </c>
    </row>
    <row r="132" spans="1:14" x14ac:dyDescent="0.15">
      <c r="A132" s="16">
        <f t="shared" si="101"/>
        <v>42856</v>
      </c>
      <c r="B132" s="29">
        <f t="shared" ref="B132:M132" si="108">B113-B$119</f>
        <v>140.5</v>
      </c>
      <c r="C132" s="29">
        <f t="shared" si="108"/>
        <v>3292.083333333333</v>
      </c>
      <c r="D132" s="29">
        <f t="shared" si="108"/>
        <v>-7984.8333333333321</v>
      </c>
      <c r="E132" s="29">
        <f t="shared" si="108"/>
        <v>-500.41666666666606</v>
      </c>
      <c r="F132" s="29">
        <f t="shared" si="108"/>
        <v>-530.08333333333337</v>
      </c>
      <c r="G132" s="29">
        <f t="shared" si="108"/>
        <v>1472.4166666666661</v>
      </c>
      <c r="H132" s="29">
        <f t="shared" si="108"/>
        <v>20767.916666666668</v>
      </c>
      <c r="I132" s="29">
        <f t="shared" si="108"/>
        <v>-214</v>
      </c>
      <c r="J132" s="29">
        <f t="shared" si="108"/>
        <v>76.83333333333303</v>
      </c>
      <c r="K132" s="29">
        <f t="shared" si="108"/>
        <v>-52.5</v>
      </c>
      <c r="L132" s="29">
        <f t="shared" si="108"/>
        <v>685</v>
      </c>
      <c r="M132" s="29">
        <f t="shared" si="108"/>
        <v>-26432.166666666664</v>
      </c>
    </row>
    <row r="133" spans="1:14" x14ac:dyDescent="0.15">
      <c r="A133" s="16">
        <f t="shared" si="101"/>
        <v>42887</v>
      </c>
      <c r="B133" s="29">
        <f t="shared" ref="B133:M133" si="109">B114-B$119</f>
        <v>97.5</v>
      </c>
      <c r="C133" s="29">
        <f t="shared" si="109"/>
        <v>1206.083333333333</v>
      </c>
      <c r="D133" s="29">
        <f t="shared" si="109"/>
        <v>-9207.8333333333321</v>
      </c>
      <c r="E133" s="29">
        <f t="shared" si="109"/>
        <v>-1937.4166666666661</v>
      </c>
      <c r="F133" s="29">
        <f t="shared" si="109"/>
        <v>851.91666666666663</v>
      </c>
      <c r="G133" s="29">
        <f t="shared" si="109"/>
        <v>-1212.5833333333339</v>
      </c>
      <c r="H133" s="29">
        <f t="shared" si="109"/>
        <v>-15550.083333333332</v>
      </c>
      <c r="I133" s="29">
        <f t="shared" si="109"/>
        <v>-489</v>
      </c>
      <c r="J133" s="29">
        <f t="shared" si="109"/>
        <v>-771.16666666666697</v>
      </c>
      <c r="K133" s="29">
        <f t="shared" si="109"/>
        <v>-217.5</v>
      </c>
      <c r="L133" s="29">
        <f t="shared" si="109"/>
        <v>272</v>
      </c>
      <c r="M133" s="29">
        <f t="shared" si="109"/>
        <v>-28395.166666666664</v>
      </c>
    </row>
    <row r="134" spans="1:14" x14ac:dyDescent="0.15">
      <c r="A134" s="16">
        <f t="shared" si="101"/>
        <v>42917</v>
      </c>
      <c r="B134" s="29">
        <f t="shared" ref="B134:M134" si="110">B115-B$119</f>
        <v>-29.5</v>
      </c>
      <c r="C134" s="29">
        <f t="shared" si="110"/>
        <v>1293.083333333333</v>
      </c>
      <c r="D134" s="29">
        <f t="shared" si="110"/>
        <v>-10575.833333333332</v>
      </c>
      <c r="E134" s="29">
        <f t="shared" si="110"/>
        <v>-3376.4166666666661</v>
      </c>
      <c r="F134" s="29">
        <f t="shared" si="110"/>
        <v>944.91666666666663</v>
      </c>
      <c r="G134" s="29">
        <f t="shared" si="110"/>
        <v>-1846.5833333333339</v>
      </c>
      <c r="H134" s="29">
        <f t="shared" si="110"/>
        <v>-17982.083333333332</v>
      </c>
      <c r="I134" s="29">
        <f t="shared" si="110"/>
        <v>-1136</v>
      </c>
      <c r="J134" s="29">
        <f t="shared" si="110"/>
        <v>-610.16666666666697</v>
      </c>
      <c r="K134" s="29">
        <f t="shared" si="110"/>
        <v>-291.5</v>
      </c>
      <c r="L134" s="29">
        <f t="shared" si="110"/>
        <v>-8</v>
      </c>
      <c r="M134" s="29">
        <f t="shared" si="110"/>
        <v>-27802.166666666664</v>
      </c>
    </row>
    <row r="135" spans="1:14" x14ac:dyDescent="0.15">
      <c r="A135" s="16">
        <f t="shared" si="101"/>
        <v>42948</v>
      </c>
      <c r="B135" s="29">
        <f t="shared" ref="B135:M135" si="111">B116-B$119</f>
        <v>-40.5</v>
      </c>
      <c r="C135" s="29">
        <f t="shared" si="111"/>
        <v>2635.083333333333</v>
      </c>
      <c r="D135" s="29">
        <f t="shared" si="111"/>
        <v>-7752.8333333333321</v>
      </c>
      <c r="E135" s="29">
        <f t="shared" si="111"/>
        <v>-3856.4166666666661</v>
      </c>
      <c r="F135" s="29">
        <f t="shared" si="111"/>
        <v>795.91666666666663</v>
      </c>
      <c r="G135" s="29">
        <f t="shared" si="111"/>
        <v>-1189.5833333333339</v>
      </c>
      <c r="H135" s="29">
        <f t="shared" si="111"/>
        <v>-19009.083333333332</v>
      </c>
      <c r="I135" s="29">
        <f t="shared" si="111"/>
        <v>-1578</v>
      </c>
      <c r="J135" s="29">
        <f t="shared" si="111"/>
        <v>-540.16666666666697</v>
      </c>
      <c r="K135" s="29">
        <f t="shared" si="111"/>
        <v>-45.5</v>
      </c>
      <c r="L135" s="29">
        <f t="shared" si="111"/>
        <v>-308</v>
      </c>
      <c r="M135" s="29">
        <f t="shared" si="111"/>
        <v>-28686.166666666664</v>
      </c>
    </row>
    <row r="136" spans="1:14" x14ac:dyDescent="0.15">
      <c r="A136" s="16">
        <f t="shared" si="101"/>
        <v>42979</v>
      </c>
      <c r="B136" s="29">
        <f t="shared" ref="B136:M136" si="112">B117-B$119</f>
        <v>-164.5</v>
      </c>
      <c r="C136" s="29">
        <f t="shared" si="112"/>
        <v>2711.083333333333</v>
      </c>
      <c r="D136" s="29">
        <f t="shared" si="112"/>
        <v>-4492.8333333333321</v>
      </c>
      <c r="E136" s="29">
        <f t="shared" si="112"/>
        <v>-3701.4166666666661</v>
      </c>
      <c r="F136" s="29">
        <f t="shared" si="112"/>
        <v>1265.9166666666665</v>
      </c>
      <c r="G136" s="29">
        <f t="shared" si="112"/>
        <v>302.41666666666606</v>
      </c>
      <c r="H136" s="29">
        <f t="shared" si="112"/>
        <v>-17898.083333333332</v>
      </c>
      <c r="I136" s="29">
        <f t="shared" si="112"/>
        <v>-2622</v>
      </c>
      <c r="J136" s="29">
        <f t="shared" si="112"/>
        <v>-15.16666666666697</v>
      </c>
      <c r="K136" s="29">
        <f t="shared" si="112"/>
        <v>-244.5</v>
      </c>
      <c r="L136" s="29">
        <f t="shared" si="112"/>
        <v>-181</v>
      </c>
      <c r="M136" s="29">
        <f t="shared" si="112"/>
        <v>-28062.166666666664</v>
      </c>
    </row>
    <row r="137" spans="1:14" x14ac:dyDescent="0.15">
      <c r="A137" s="15" t="s">
        <v>16</v>
      </c>
      <c r="B137" s="27">
        <f>SUM(B125:B136)</f>
        <v>0</v>
      </c>
      <c r="C137" s="27">
        <f t="shared" ref="C137:M137" si="113">SUM(C125:C136)</f>
        <v>-6.3664629124104977E-12</v>
      </c>
      <c r="D137" s="27">
        <f t="shared" si="113"/>
        <v>4.0017766878008842E-11</v>
      </c>
      <c r="E137" s="27">
        <f t="shared" si="113"/>
        <v>7.2759576141834259E-12</v>
      </c>
      <c r="F137" s="27">
        <f t="shared" si="113"/>
        <v>0</v>
      </c>
      <c r="G137" s="27">
        <f t="shared" si="113"/>
        <v>-7.2759576141834259E-12</v>
      </c>
      <c r="H137" s="27">
        <f t="shared" si="113"/>
        <v>3.637978807091713E-11</v>
      </c>
      <c r="I137" s="27">
        <f t="shared" si="113"/>
        <v>0</v>
      </c>
      <c r="J137" s="27">
        <f t="shared" si="113"/>
        <v>-3.637978807091713E-12</v>
      </c>
      <c r="K137" s="27">
        <f t="shared" si="113"/>
        <v>0</v>
      </c>
      <c r="L137" s="27">
        <f t="shared" si="113"/>
        <v>0</v>
      </c>
      <c r="M137" s="27">
        <f t="shared" si="113"/>
        <v>6.5483618527650833E-11</v>
      </c>
    </row>
    <row r="138" spans="1:14" x14ac:dyDescent="0.1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1:14" x14ac:dyDescent="0.15">
      <c r="B139" s="304" t="s">
        <v>39</v>
      </c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</row>
    <row r="140" spans="1:14" x14ac:dyDescent="0.15">
      <c r="A140" s="30" t="s">
        <v>21</v>
      </c>
      <c r="B140" s="31" t="s">
        <v>7</v>
      </c>
      <c r="C140" s="31" t="s">
        <v>8</v>
      </c>
      <c r="D140" s="31" t="s">
        <v>9</v>
      </c>
      <c r="E140" s="31" t="s">
        <v>10</v>
      </c>
      <c r="F140" s="31" t="s">
        <v>11</v>
      </c>
      <c r="G140" s="31" t="s">
        <v>19</v>
      </c>
      <c r="H140" s="32" t="s">
        <v>12</v>
      </c>
      <c r="I140" s="31" t="s">
        <v>13</v>
      </c>
      <c r="J140" s="31" t="s">
        <v>24</v>
      </c>
      <c r="K140" s="31" t="s">
        <v>14</v>
      </c>
      <c r="L140" s="31" t="s">
        <v>17</v>
      </c>
      <c r="M140" s="31" t="s">
        <v>15</v>
      </c>
    </row>
    <row r="141" spans="1:14" x14ac:dyDescent="0.15">
      <c r="A141" s="16">
        <f>A125</f>
        <v>42644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4" x14ac:dyDescent="0.15">
      <c r="A142" s="16">
        <f t="shared" ref="A142:A152" si="114">A126</f>
        <v>42675</v>
      </c>
      <c r="B142" s="17">
        <f>B107-B106</f>
        <v>-108</v>
      </c>
      <c r="C142" s="17">
        <f t="shared" ref="C142:M142" si="115">C107-C106</f>
        <v>748</v>
      </c>
      <c r="D142" s="17">
        <f t="shared" si="115"/>
        <v>-32297</v>
      </c>
      <c r="E142" s="17">
        <f t="shared" si="115"/>
        <v>-4974</v>
      </c>
      <c r="F142" s="17">
        <f t="shared" si="115"/>
        <v>-45</v>
      </c>
      <c r="G142" s="17">
        <f t="shared" si="115"/>
        <v>1970</v>
      </c>
      <c r="H142" s="17">
        <f t="shared" si="115"/>
        <v>-34039</v>
      </c>
      <c r="I142" s="17">
        <f t="shared" si="115"/>
        <v>1284</v>
      </c>
      <c r="J142" s="17">
        <f t="shared" si="115"/>
        <v>396</v>
      </c>
      <c r="K142" s="17">
        <f t="shared" si="115"/>
        <v>27</v>
      </c>
      <c r="L142" s="17">
        <f t="shared" si="115"/>
        <v>1199</v>
      </c>
      <c r="M142" s="29">
        <f t="shared" si="115"/>
        <v>5304</v>
      </c>
      <c r="N142" s="20"/>
    </row>
    <row r="143" spans="1:14" x14ac:dyDescent="0.15">
      <c r="A143" s="16">
        <f t="shared" si="114"/>
        <v>42705</v>
      </c>
      <c r="B143" s="17">
        <f t="shared" ref="B143:M143" si="116">B108-B107</f>
        <v>-30</v>
      </c>
      <c r="C143" s="17">
        <f t="shared" si="116"/>
        <v>-1171</v>
      </c>
      <c r="D143" s="17">
        <f t="shared" si="116"/>
        <v>-29167</v>
      </c>
      <c r="E143" s="17">
        <f t="shared" si="116"/>
        <v>-3572</v>
      </c>
      <c r="F143" s="17">
        <f t="shared" si="116"/>
        <v>-28</v>
      </c>
      <c r="G143" s="17">
        <f t="shared" si="116"/>
        <v>-2209</v>
      </c>
      <c r="H143" s="17">
        <f t="shared" si="116"/>
        <v>-11523</v>
      </c>
      <c r="I143" s="17">
        <f t="shared" si="116"/>
        <v>-19</v>
      </c>
      <c r="J143" s="17">
        <f t="shared" si="116"/>
        <v>-301</v>
      </c>
      <c r="K143" s="17">
        <f t="shared" si="116"/>
        <v>-545</v>
      </c>
      <c r="L143" s="17">
        <f t="shared" si="116"/>
        <v>-1519</v>
      </c>
      <c r="M143" s="29">
        <f t="shared" si="116"/>
        <v>-14230</v>
      </c>
      <c r="N143" s="20"/>
    </row>
    <row r="144" spans="1:14" x14ac:dyDescent="0.15">
      <c r="A144" s="16">
        <f t="shared" si="114"/>
        <v>42736</v>
      </c>
      <c r="B144" s="17">
        <f t="shared" ref="B144:M144" si="117">B109-B108</f>
        <v>94</v>
      </c>
      <c r="C144" s="17">
        <f t="shared" si="117"/>
        <v>252</v>
      </c>
      <c r="D144" s="17">
        <f t="shared" si="117"/>
        <v>-4650</v>
      </c>
      <c r="E144" s="17">
        <f t="shared" si="117"/>
        <v>-535</v>
      </c>
      <c r="F144" s="17">
        <f t="shared" si="117"/>
        <v>-46</v>
      </c>
      <c r="G144" s="17">
        <f t="shared" si="117"/>
        <v>-613</v>
      </c>
      <c r="H144" s="17">
        <f t="shared" si="117"/>
        <v>-10590</v>
      </c>
      <c r="I144" s="17">
        <f t="shared" si="117"/>
        <v>1178</v>
      </c>
      <c r="J144" s="17">
        <f t="shared" si="117"/>
        <v>-1020</v>
      </c>
      <c r="K144" s="17">
        <f t="shared" si="117"/>
        <v>-36</v>
      </c>
      <c r="L144" s="17">
        <f t="shared" si="117"/>
        <v>211</v>
      </c>
      <c r="M144" s="29">
        <f t="shared" si="117"/>
        <v>7509</v>
      </c>
      <c r="N144" s="20"/>
    </row>
    <row r="145" spans="1:15" x14ac:dyDescent="0.15">
      <c r="A145" s="16">
        <f t="shared" si="114"/>
        <v>42767</v>
      </c>
      <c r="B145" s="17">
        <f t="shared" ref="B145:M145" si="118">B110-B109</f>
        <v>52</v>
      </c>
      <c r="C145" s="17">
        <f t="shared" si="118"/>
        <v>423</v>
      </c>
      <c r="D145" s="17">
        <f t="shared" si="118"/>
        <v>69</v>
      </c>
      <c r="E145" s="17">
        <f t="shared" si="118"/>
        <v>618</v>
      </c>
      <c r="F145" s="17">
        <f t="shared" si="118"/>
        <v>-45</v>
      </c>
      <c r="G145" s="17">
        <f t="shared" si="118"/>
        <v>540</v>
      </c>
      <c r="H145" s="17">
        <f t="shared" si="118"/>
        <v>727</v>
      </c>
      <c r="I145" s="17">
        <f t="shared" si="118"/>
        <v>-498</v>
      </c>
      <c r="J145" s="17">
        <f t="shared" si="118"/>
        <v>-38</v>
      </c>
      <c r="K145" s="17">
        <f t="shared" si="118"/>
        <v>-344</v>
      </c>
      <c r="L145" s="17">
        <f t="shared" si="118"/>
        <v>278</v>
      </c>
      <c r="M145" s="29">
        <f t="shared" si="118"/>
        <v>12003</v>
      </c>
      <c r="N145" s="20"/>
    </row>
    <row r="146" spans="1:15" x14ac:dyDescent="0.15">
      <c r="A146" s="16">
        <f t="shared" si="114"/>
        <v>42795</v>
      </c>
      <c r="B146" s="17">
        <f t="shared" ref="B146:M146" si="119">B111-B110</f>
        <v>200</v>
      </c>
      <c r="C146" s="17">
        <f t="shared" si="119"/>
        <v>984</v>
      </c>
      <c r="D146" s="17">
        <f t="shared" si="119"/>
        <v>1809</v>
      </c>
      <c r="E146" s="17">
        <f t="shared" si="119"/>
        <v>497</v>
      </c>
      <c r="F146" s="17">
        <f t="shared" si="119"/>
        <v>-6</v>
      </c>
      <c r="G146" s="17">
        <f t="shared" si="119"/>
        <v>3993</v>
      </c>
      <c r="H146" s="17">
        <f t="shared" si="119"/>
        <v>-1054</v>
      </c>
      <c r="I146" s="17">
        <f t="shared" si="119"/>
        <v>-722</v>
      </c>
      <c r="J146" s="17">
        <f t="shared" si="119"/>
        <v>1649</v>
      </c>
      <c r="K146" s="17">
        <f t="shared" si="119"/>
        <v>99</v>
      </c>
      <c r="L146" s="17">
        <f t="shared" si="119"/>
        <v>-3219</v>
      </c>
      <c r="M146" s="29">
        <f t="shared" si="119"/>
        <v>814</v>
      </c>
      <c r="N146" s="20"/>
    </row>
    <row r="147" spans="1:15" x14ac:dyDescent="0.15">
      <c r="A147" s="16">
        <f t="shared" si="114"/>
        <v>42826</v>
      </c>
      <c r="B147" s="17">
        <f t="shared" ref="B147:M147" si="120">B112-B111</f>
        <v>-22</v>
      </c>
      <c r="C147" s="17">
        <f t="shared" si="120"/>
        <v>117</v>
      </c>
      <c r="D147" s="17">
        <f t="shared" si="120"/>
        <v>1180</v>
      </c>
      <c r="E147" s="17">
        <f t="shared" si="120"/>
        <v>-1453</v>
      </c>
      <c r="F147" s="17">
        <f t="shared" si="120"/>
        <v>52</v>
      </c>
      <c r="G147" s="17">
        <f t="shared" si="120"/>
        <v>-1258</v>
      </c>
      <c r="H147" s="17">
        <f t="shared" si="120"/>
        <v>32347</v>
      </c>
      <c r="I147" s="17">
        <f t="shared" si="120"/>
        <v>-1034</v>
      </c>
      <c r="J147" s="17">
        <f t="shared" si="120"/>
        <v>115</v>
      </c>
      <c r="K147" s="17">
        <f t="shared" si="120"/>
        <v>322</v>
      </c>
      <c r="L147" s="17">
        <f t="shared" si="120"/>
        <v>3819</v>
      </c>
      <c r="M147" s="29">
        <f t="shared" si="120"/>
        <v>-39104</v>
      </c>
      <c r="N147" s="20"/>
    </row>
    <row r="148" spans="1:15" x14ac:dyDescent="0.15">
      <c r="A148" s="16">
        <f t="shared" si="114"/>
        <v>42856</v>
      </c>
      <c r="B148" s="17">
        <f t="shared" ref="B148:M148" si="121">B113-B112</f>
        <v>-29</v>
      </c>
      <c r="C148" s="17">
        <f t="shared" si="121"/>
        <v>3958</v>
      </c>
      <c r="D148" s="17">
        <f t="shared" si="121"/>
        <v>-1104</v>
      </c>
      <c r="E148" s="17">
        <f t="shared" si="121"/>
        <v>87</v>
      </c>
      <c r="F148" s="17">
        <f t="shared" si="121"/>
        <v>-35</v>
      </c>
      <c r="G148" s="17">
        <f t="shared" si="121"/>
        <v>-351</v>
      </c>
      <c r="H148" s="17">
        <f t="shared" si="121"/>
        <v>-1023</v>
      </c>
      <c r="I148" s="17">
        <f t="shared" si="121"/>
        <v>-73</v>
      </c>
      <c r="J148" s="17">
        <f t="shared" si="121"/>
        <v>-977</v>
      </c>
      <c r="K148" s="17">
        <f t="shared" si="121"/>
        <v>-157</v>
      </c>
      <c r="L148" s="17">
        <f t="shared" si="121"/>
        <v>-210</v>
      </c>
      <c r="M148" s="29">
        <f t="shared" si="121"/>
        <v>-20176</v>
      </c>
      <c r="N148" s="20"/>
    </row>
    <row r="149" spans="1:15" x14ac:dyDescent="0.15">
      <c r="A149" s="16">
        <f t="shared" si="114"/>
        <v>42887</v>
      </c>
      <c r="B149" s="17">
        <f t="shared" ref="B149:M149" si="122">B114-B113</f>
        <v>-43</v>
      </c>
      <c r="C149" s="17">
        <f t="shared" si="122"/>
        <v>-2086</v>
      </c>
      <c r="D149" s="17">
        <f t="shared" si="122"/>
        <v>-1223</v>
      </c>
      <c r="E149" s="17">
        <f t="shared" si="122"/>
        <v>-1437</v>
      </c>
      <c r="F149" s="17">
        <f t="shared" si="122"/>
        <v>1382</v>
      </c>
      <c r="G149" s="17">
        <f t="shared" si="122"/>
        <v>-2685</v>
      </c>
      <c r="H149" s="17">
        <f t="shared" si="122"/>
        <v>-36318</v>
      </c>
      <c r="I149" s="17">
        <f t="shared" si="122"/>
        <v>-275</v>
      </c>
      <c r="J149" s="17">
        <f t="shared" si="122"/>
        <v>-848</v>
      </c>
      <c r="K149" s="17">
        <f t="shared" si="122"/>
        <v>-165</v>
      </c>
      <c r="L149" s="17">
        <f t="shared" si="122"/>
        <v>-413</v>
      </c>
      <c r="M149" s="29">
        <f t="shared" si="122"/>
        <v>-1963</v>
      </c>
      <c r="N149" s="20"/>
    </row>
    <row r="150" spans="1:15" x14ac:dyDescent="0.15">
      <c r="A150" s="16">
        <f t="shared" si="114"/>
        <v>42917</v>
      </c>
      <c r="B150" s="17">
        <f t="shared" ref="B150:M150" si="123">B115-B114</f>
        <v>-127</v>
      </c>
      <c r="C150" s="17">
        <f t="shared" si="123"/>
        <v>87</v>
      </c>
      <c r="D150" s="17">
        <f t="shared" si="123"/>
        <v>-1368</v>
      </c>
      <c r="E150" s="17">
        <f t="shared" si="123"/>
        <v>-1439</v>
      </c>
      <c r="F150" s="17">
        <f t="shared" si="123"/>
        <v>93</v>
      </c>
      <c r="G150" s="17">
        <f t="shared" si="123"/>
        <v>-634</v>
      </c>
      <c r="H150" s="17">
        <f t="shared" si="123"/>
        <v>-2432</v>
      </c>
      <c r="I150" s="17">
        <f t="shared" si="123"/>
        <v>-647</v>
      </c>
      <c r="J150" s="17">
        <f t="shared" si="123"/>
        <v>161</v>
      </c>
      <c r="K150" s="17">
        <f t="shared" si="123"/>
        <v>-74</v>
      </c>
      <c r="L150" s="17">
        <f t="shared" si="123"/>
        <v>-280</v>
      </c>
      <c r="M150" s="29">
        <f t="shared" si="123"/>
        <v>593</v>
      </c>
      <c r="N150" s="20"/>
    </row>
    <row r="151" spans="1:15" x14ac:dyDescent="0.15">
      <c r="A151" s="16">
        <f t="shared" si="114"/>
        <v>42948</v>
      </c>
      <c r="B151" s="17">
        <f t="shared" ref="B151:M151" si="124">B116-B115</f>
        <v>-11</v>
      </c>
      <c r="C151" s="17">
        <f t="shared" si="124"/>
        <v>1342</v>
      </c>
      <c r="D151" s="17">
        <f t="shared" si="124"/>
        <v>2823</v>
      </c>
      <c r="E151" s="17">
        <f t="shared" si="124"/>
        <v>-480</v>
      </c>
      <c r="F151" s="17">
        <f t="shared" si="124"/>
        <v>-149</v>
      </c>
      <c r="G151" s="17">
        <f t="shared" si="124"/>
        <v>657</v>
      </c>
      <c r="H151" s="17">
        <f t="shared" si="124"/>
        <v>-1027</v>
      </c>
      <c r="I151" s="17">
        <f t="shared" si="124"/>
        <v>-442</v>
      </c>
      <c r="J151" s="17">
        <f t="shared" si="124"/>
        <v>70</v>
      </c>
      <c r="K151" s="17">
        <f t="shared" si="124"/>
        <v>246</v>
      </c>
      <c r="L151" s="17">
        <f t="shared" si="124"/>
        <v>-300</v>
      </c>
      <c r="M151" s="29">
        <f t="shared" si="124"/>
        <v>-884</v>
      </c>
      <c r="N151" s="20"/>
    </row>
    <row r="152" spans="1:15" x14ac:dyDescent="0.15">
      <c r="A152" s="16">
        <f t="shared" si="114"/>
        <v>42979</v>
      </c>
      <c r="B152" s="17">
        <f t="shared" ref="B152:M152" si="125">B117-B116</f>
        <v>-124</v>
      </c>
      <c r="C152" s="17">
        <f t="shared" si="125"/>
        <v>76</v>
      </c>
      <c r="D152" s="17">
        <f t="shared" si="125"/>
        <v>3260</v>
      </c>
      <c r="E152" s="17">
        <f t="shared" si="125"/>
        <v>155</v>
      </c>
      <c r="F152" s="17">
        <f t="shared" si="125"/>
        <v>470</v>
      </c>
      <c r="G152" s="17">
        <f t="shared" si="125"/>
        <v>1492</v>
      </c>
      <c r="H152" s="17">
        <f t="shared" si="125"/>
        <v>1111</v>
      </c>
      <c r="I152" s="17">
        <f t="shared" si="125"/>
        <v>-1044</v>
      </c>
      <c r="J152" s="17">
        <f t="shared" si="125"/>
        <v>525</v>
      </c>
      <c r="K152" s="17">
        <f t="shared" si="125"/>
        <v>-199</v>
      </c>
      <c r="L152" s="17">
        <f t="shared" si="125"/>
        <v>127</v>
      </c>
      <c r="M152" s="29">
        <f t="shared" si="125"/>
        <v>624</v>
      </c>
      <c r="N152" s="20"/>
    </row>
    <row r="155" spans="1:15" ht="12.75" customHeight="1" x14ac:dyDescent="0.15">
      <c r="A155" s="304" t="s">
        <v>52</v>
      </c>
      <c r="B155" s="311"/>
      <c r="C155" s="311"/>
      <c r="D155" s="311"/>
      <c r="E155" s="311"/>
      <c r="F155" s="311"/>
      <c r="G155" s="311"/>
      <c r="H155" s="311"/>
      <c r="I155" s="311"/>
      <c r="J155" s="311"/>
      <c r="K155" s="311"/>
      <c r="L155" s="311"/>
      <c r="M155" s="311"/>
    </row>
    <row r="156" spans="1:15" x14ac:dyDescent="0.15">
      <c r="A156" s="46" t="s">
        <v>55</v>
      </c>
      <c r="B156" s="31" t="s">
        <v>7</v>
      </c>
      <c r="C156" s="31" t="s">
        <v>8</v>
      </c>
      <c r="D156" s="31" t="s">
        <v>9</v>
      </c>
      <c r="E156" s="31" t="s">
        <v>10</v>
      </c>
      <c r="F156" s="31" t="s">
        <v>11</v>
      </c>
      <c r="G156" s="31" t="s">
        <v>19</v>
      </c>
      <c r="H156" s="32" t="s">
        <v>12</v>
      </c>
      <c r="I156" s="31" t="s">
        <v>13</v>
      </c>
      <c r="J156" s="71" t="s">
        <v>24</v>
      </c>
      <c r="K156" s="31" t="s">
        <v>14</v>
      </c>
      <c r="L156" s="31" t="s">
        <v>17</v>
      </c>
      <c r="M156" s="31" t="s">
        <v>15</v>
      </c>
      <c r="N156" s="224" t="s">
        <v>54</v>
      </c>
      <c r="O156" s="43"/>
    </row>
    <row r="157" spans="1:15" x14ac:dyDescent="0.15">
      <c r="A157" s="40" t="s">
        <v>45</v>
      </c>
      <c r="B157" s="47">
        <v>1828.7103789062501</v>
      </c>
      <c r="C157" s="47">
        <v>255.6104873046875</v>
      </c>
      <c r="D157" s="47"/>
      <c r="E157" s="47">
        <v>219.88722949218749</v>
      </c>
      <c r="F157" s="47">
        <v>3.435041015625</v>
      </c>
      <c r="G157" s="47">
        <v>1761.525625</v>
      </c>
      <c r="H157" s="47">
        <v>180.68916015625001</v>
      </c>
      <c r="I157" s="47">
        <v>125.360509765625</v>
      </c>
      <c r="J157" s="47"/>
      <c r="K157" s="47"/>
      <c r="L157" s="47">
        <v>21.843390625000001</v>
      </c>
      <c r="M157" s="47"/>
      <c r="N157" s="47">
        <f t="shared" ref="N157:N164" si="126">SUM(B157:M157)</f>
        <v>4397.0618222656249</v>
      </c>
      <c r="O157" s="23">
        <f>N157/1024</f>
        <v>4.2940056858062743</v>
      </c>
    </row>
    <row r="158" spans="1:15" x14ac:dyDescent="0.15">
      <c r="A158" s="41" t="s">
        <v>46</v>
      </c>
      <c r="B158" s="47">
        <v>2359.018</v>
      </c>
      <c r="C158" s="47">
        <v>376.68700000000001</v>
      </c>
      <c r="D158" s="47"/>
      <c r="E158" s="47">
        <v>317.83100000000002</v>
      </c>
      <c r="F158" s="47">
        <v>5.3330000000000002</v>
      </c>
      <c r="G158" s="47">
        <v>759.51099999999997</v>
      </c>
      <c r="H158" s="47">
        <v>392.52600000000001</v>
      </c>
      <c r="I158" s="47">
        <v>63.571999999999996</v>
      </c>
      <c r="J158" s="47"/>
      <c r="K158" s="47">
        <v>0.38700000000000001</v>
      </c>
      <c r="L158" s="47">
        <v>29.620999999999999</v>
      </c>
      <c r="M158" s="47"/>
      <c r="N158" s="47">
        <f t="shared" si="126"/>
        <v>4304.4859999999999</v>
      </c>
      <c r="O158" s="23">
        <f t="shared" ref="O158:O164" si="127">N158/1024</f>
        <v>4.2035996093749999</v>
      </c>
    </row>
    <row r="159" spans="1:15" x14ac:dyDescent="0.15">
      <c r="A159" s="41" t="s">
        <v>47</v>
      </c>
      <c r="B159" s="47">
        <v>2082.8297632890626</v>
      </c>
      <c r="C159" s="47">
        <v>448.4706982421875</v>
      </c>
      <c r="D159" s="47"/>
      <c r="E159" s="47">
        <v>381.539158203125</v>
      </c>
      <c r="F159" s="47">
        <v>6.8242343749999996</v>
      </c>
      <c r="G159" s="47">
        <v>822.25268164062504</v>
      </c>
      <c r="H159" s="47">
        <v>768.33581738281248</v>
      </c>
      <c r="I159" s="47">
        <v>66.057981445312507</v>
      </c>
      <c r="J159" s="47"/>
      <c r="K159" s="47">
        <v>0.41019058227539062</v>
      </c>
      <c r="L159" s="47">
        <v>32.902135742187497</v>
      </c>
      <c r="M159" s="47">
        <v>2.722111328125</v>
      </c>
      <c r="N159" s="47">
        <f t="shared" si="126"/>
        <v>4612.3447722307128</v>
      </c>
      <c r="O159" s="23">
        <f t="shared" si="127"/>
        <v>4.5042429416315555</v>
      </c>
    </row>
    <row r="160" spans="1:15" x14ac:dyDescent="0.15">
      <c r="A160" s="42" t="s">
        <v>48</v>
      </c>
      <c r="B160" s="47">
        <v>1780.1082324218751</v>
      </c>
      <c r="C160" s="47">
        <v>1801.57</v>
      </c>
      <c r="D160" s="47">
        <v>6.03</v>
      </c>
      <c r="E160" s="47">
        <v>422.22720703124997</v>
      </c>
      <c r="F160" s="47">
        <v>6.4231972656250003</v>
      </c>
      <c r="G160" s="47">
        <v>898.95026074218754</v>
      </c>
      <c r="H160" s="47">
        <v>882.08933593749998</v>
      </c>
      <c r="I160" s="47">
        <v>64.431476562499995</v>
      </c>
      <c r="J160" s="47"/>
      <c r="K160" s="47">
        <v>4.6073242187500002E-2</v>
      </c>
      <c r="L160" s="47">
        <v>36.163331054687497</v>
      </c>
      <c r="M160" s="47">
        <v>2.8863720703125</v>
      </c>
      <c r="N160" s="47">
        <f t="shared" si="126"/>
        <v>5900.925486328124</v>
      </c>
      <c r="O160" s="23">
        <f t="shared" si="127"/>
        <v>5.7626225452423085</v>
      </c>
    </row>
    <row r="161" spans="1:23" x14ac:dyDescent="0.15">
      <c r="A161" s="42" t="s">
        <v>49</v>
      </c>
      <c r="B161" s="47">
        <v>2167.0134765624998</v>
      </c>
      <c r="C161" s="47">
        <v>2654.908486328125</v>
      </c>
      <c r="D161" s="47">
        <v>6.74</v>
      </c>
      <c r="E161" s="47">
        <v>515.71818359375004</v>
      </c>
      <c r="F161" s="47">
        <v>7.0876269531249996</v>
      </c>
      <c r="G161" s="47">
        <v>954.17966796874998</v>
      </c>
      <c r="H161" s="47">
        <v>1159.65796875</v>
      </c>
      <c r="I161" s="47">
        <v>63.890546874999998</v>
      </c>
      <c r="J161" s="47"/>
      <c r="K161" s="47">
        <v>0.615234375</v>
      </c>
      <c r="L161" s="47">
        <v>41.469843750000003</v>
      </c>
      <c r="M161" s="47">
        <v>3.3079492187500001</v>
      </c>
      <c r="N161" s="47">
        <f t="shared" si="126"/>
        <v>7574.5889843750001</v>
      </c>
      <c r="O161" s="23">
        <f t="shared" si="127"/>
        <v>7.397059555053711</v>
      </c>
    </row>
    <row r="162" spans="1:23" x14ac:dyDescent="0.15">
      <c r="A162" s="42" t="s">
        <v>50</v>
      </c>
      <c r="B162" s="47">
        <v>2806.56</v>
      </c>
      <c r="C162" s="47">
        <v>3597.0542089843748</v>
      </c>
      <c r="D162" s="47">
        <v>7.9962792968749996</v>
      </c>
      <c r="E162" s="47">
        <v>668.55621093750005</v>
      </c>
      <c r="F162" s="47">
        <v>9.5370605468750007</v>
      </c>
      <c r="G162" s="47">
        <v>1066.3169921875001</v>
      </c>
      <c r="H162" s="47">
        <v>1543.9236425781251</v>
      </c>
      <c r="I162" s="47">
        <v>108.343125</v>
      </c>
      <c r="J162" s="47"/>
      <c r="K162" s="47">
        <v>143.19999999999999</v>
      </c>
      <c r="L162" s="47">
        <v>44.454013671875003</v>
      </c>
      <c r="M162" s="47">
        <v>3.3409765624999999</v>
      </c>
      <c r="N162" s="47">
        <f t="shared" si="126"/>
        <v>9999.2825097656259</v>
      </c>
      <c r="O162" s="23">
        <f t="shared" si="127"/>
        <v>9.7649243259429941</v>
      </c>
    </row>
    <row r="163" spans="1:23" x14ac:dyDescent="0.15">
      <c r="A163" s="42" t="s">
        <v>51</v>
      </c>
      <c r="B163" s="47">
        <v>3268.5614688254918</v>
      </c>
      <c r="C163" s="47">
        <v>1486.062054989158</v>
      </c>
      <c r="D163" s="47">
        <v>11.422000000000001</v>
      </c>
      <c r="E163" s="47">
        <v>775.30918685094673</v>
      </c>
      <c r="F163" s="47">
        <v>8.8079055354310096</v>
      </c>
      <c r="G163" s="47">
        <v>1131.1058336851804</v>
      </c>
      <c r="H163" s="47">
        <v>2298.7438358583699</v>
      </c>
      <c r="I163" s="47">
        <v>121.28570499155356</v>
      </c>
      <c r="J163" s="47"/>
      <c r="K163" s="47">
        <v>175.490234375</v>
      </c>
      <c r="L163" s="47">
        <v>54.879029105307303</v>
      </c>
      <c r="M163" s="47">
        <v>3.3594172669090723</v>
      </c>
      <c r="N163" s="47">
        <f t="shared" si="126"/>
        <v>9335.0266714833451</v>
      </c>
      <c r="O163" s="23">
        <f t="shared" si="127"/>
        <v>9.1162369838704542</v>
      </c>
    </row>
    <row r="164" spans="1:23" x14ac:dyDescent="0.15">
      <c r="A164" s="42" t="s">
        <v>53</v>
      </c>
      <c r="B164" s="47">
        <v>3475</v>
      </c>
      <c r="C164" s="47">
        <v>2136.66015625</v>
      </c>
      <c r="D164" s="47">
        <v>13.209765624999999</v>
      </c>
      <c r="E164" s="47">
        <v>1161.8378222656249</v>
      </c>
      <c r="F164" s="47">
        <v>9.8950976562499999</v>
      </c>
      <c r="G164" s="47">
        <v>2468.4033984375001</v>
      </c>
      <c r="H164" s="47">
        <v>5265.4695996093751</v>
      </c>
      <c r="I164" s="47">
        <v>177.02448242187498</v>
      </c>
      <c r="J164" s="47"/>
      <c r="K164" s="47">
        <v>183.447265625</v>
      </c>
      <c r="L164" s="47">
        <v>89.562392578125014</v>
      </c>
      <c r="M164" s="47">
        <v>3.3659960937500002</v>
      </c>
      <c r="N164" s="47">
        <f t="shared" si="126"/>
        <v>14983.875976562502</v>
      </c>
      <c r="O164" s="23">
        <f t="shared" si="127"/>
        <v>14.632691383361818</v>
      </c>
    </row>
    <row r="165" spans="1:23" x14ac:dyDescent="0.15">
      <c r="A165" s="99" t="s">
        <v>87</v>
      </c>
      <c r="B165" s="233">
        <v>4159.7939453125</v>
      </c>
      <c r="C165" s="233">
        <v>2656.0791894531249</v>
      </c>
      <c r="D165" s="233">
        <v>17.5</v>
      </c>
      <c r="E165" s="233">
        <v>1425.640654296875</v>
      </c>
      <c r="F165" s="233">
        <v>13.584150390625</v>
      </c>
      <c r="G165" s="233">
        <v>2933.262939453125</v>
      </c>
      <c r="H165" s="233">
        <v>6075.106201171875</v>
      </c>
      <c r="I165" s="233">
        <v>277.42061523437502</v>
      </c>
      <c r="J165" s="233"/>
      <c r="K165" s="233">
        <v>197.0810546875</v>
      </c>
      <c r="L165" s="233">
        <v>164.003359375</v>
      </c>
      <c r="M165" s="233">
        <v>3.7205468750000001</v>
      </c>
      <c r="N165" s="47">
        <f>SUM(B165:M165)</f>
        <v>17923.192656250001</v>
      </c>
      <c r="O165" s="23">
        <f>N165/1024</f>
        <v>17.503117828369142</v>
      </c>
    </row>
    <row r="166" spans="1:23" x14ac:dyDescent="0.15">
      <c r="A166" s="99" t="s">
        <v>124</v>
      </c>
      <c r="B166" s="234">
        <f>Summary_data!L4</f>
        <v>4179.5</v>
      </c>
      <c r="C166" s="234">
        <f>Summary_data!L5</f>
        <v>5230.0020340442661</v>
      </c>
      <c r="D166" s="234">
        <f>Summary_data!L6</f>
        <v>20.16</v>
      </c>
      <c r="E166" s="234">
        <f>Summary_data!L7</f>
        <v>1682.9938281249999</v>
      </c>
      <c r="F166" s="234">
        <f>Summary_data!L8</f>
        <v>16.097031250000001</v>
      </c>
      <c r="G166" s="234">
        <f>Summary_data!L9</f>
        <v>3104.99</v>
      </c>
      <c r="H166" s="234">
        <f>Summary_data!L10</f>
        <v>5817.7347851562499</v>
      </c>
      <c r="I166" s="234">
        <f>Summary_data!L11</f>
        <v>428.189697265625</v>
      </c>
      <c r="J166" s="234">
        <f>Summary_data!L12</f>
        <v>3445.9434108734131</v>
      </c>
      <c r="K166" s="234">
        <f>Summary_data!L13</f>
        <v>202.5</v>
      </c>
      <c r="L166" s="234">
        <f>Summary_data!L14</f>
        <v>245.70528320312502</v>
      </c>
      <c r="M166" s="234">
        <f>Summary_data!L15</f>
        <v>3.88087890625</v>
      </c>
      <c r="N166" s="47">
        <f>SUM(B166:M166)</f>
        <v>24377.69694882393</v>
      </c>
      <c r="O166" s="23">
        <f>N166/1024</f>
        <v>23.806344676585869</v>
      </c>
    </row>
    <row r="168" spans="1:23" ht="12.75" customHeight="1" x14ac:dyDescent="0.15">
      <c r="A168" s="309" t="s">
        <v>56</v>
      </c>
      <c r="B168" s="310"/>
      <c r="C168" s="310"/>
      <c r="D168" s="310"/>
      <c r="E168" s="310"/>
      <c r="F168" s="310"/>
      <c r="G168" s="310"/>
      <c r="H168" s="310"/>
      <c r="I168"/>
    </row>
    <row r="169" spans="1:23" x14ac:dyDescent="0.15">
      <c r="A169" s="44" t="s">
        <v>44</v>
      </c>
      <c r="B169" s="225" t="s">
        <v>7</v>
      </c>
      <c r="C169" s="225" t="s">
        <v>8</v>
      </c>
      <c r="D169" s="225" t="s">
        <v>9</v>
      </c>
      <c r="E169" s="225" t="s">
        <v>57</v>
      </c>
      <c r="F169" s="225" t="s">
        <v>11</v>
      </c>
      <c r="G169" s="225" t="s">
        <v>19</v>
      </c>
      <c r="H169" s="225" t="s">
        <v>12</v>
      </c>
      <c r="I169" s="225" t="s">
        <v>13</v>
      </c>
      <c r="J169" s="71" t="s">
        <v>24</v>
      </c>
      <c r="K169" s="226" t="s">
        <v>14</v>
      </c>
      <c r="L169" s="225" t="s">
        <v>17</v>
      </c>
      <c r="M169" s="225" t="s">
        <v>15</v>
      </c>
      <c r="N169"/>
      <c r="O169"/>
      <c r="P169"/>
      <c r="Q169"/>
      <c r="R169"/>
      <c r="S169"/>
      <c r="T169"/>
      <c r="U169"/>
      <c r="V169"/>
      <c r="W169"/>
    </row>
    <row r="170" spans="1:23" x14ac:dyDescent="0.15">
      <c r="A170" s="45" t="s">
        <v>45</v>
      </c>
      <c r="B170" s="48">
        <v>2.6576141684055352E-3</v>
      </c>
      <c r="C170" s="48">
        <v>4.2850024912805179E-2</v>
      </c>
      <c r="D170" s="48"/>
      <c r="E170" s="48">
        <v>0.16945548561694312</v>
      </c>
      <c r="F170" s="48"/>
      <c r="G170" s="48">
        <v>3.6466484818673699E-2</v>
      </c>
      <c r="H170" s="48">
        <v>0.37612140147288553</v>
      </c>
      <c r="I170" s="48">
        <v>2.2101237652255103E-2</v>
      </c>
      <c r="J170" s="48"/>
      <c r="K170" s="48">
        <v>0.20388598818796541</v>
      </c>
      <c r="L170" s="48">
        <v>0.3592377107575398</v>
      </c>
      <c r="M170" s="48"/>
      <c r="N170"/>
      <c r="O170"/>
      <c r="P170"/>
      <c r="Q170"/>
      <c r="R170"/>
      <c r="S170"/>
      <c r="T170"/>
      <c r="U170"/>
      <c r="V170"/>
      <c r="W170"/>
    </row>
    <row r="171" spans="1:23" x14ac:dyDescent="0.15">
      <c r="A171" s="45" t="s">
        <v>46</v>
      </c>
      <c r="B171" s="48">
        <v>3.0116919157454165E-3</v>
      </c>
      <c r="C171" s="48">
        <v>6.5149136577708003E-2</v>
      </c>
      <c r="D171" s="48">
        <v>0.44433094994892747</v>
      </c>
      <c r="E171" s="48">
        <v>0.12795633717404487</v>
      </c>
      <c r="F171" s="48">
        <v>0.15365489806066635</v>
      </c>
      <c r="G171" s="48">
        <v>8.0339235573892609E-2</v>
      </c>
      <c r="H171" s="48">
        <v>0.3058103975535168</v>
      </c>
      <c r="I171" s="48">
        <v>3.9931447566698966E-3</v>
      </c>
      <c r="J171" s="48"/>
      <c r="K171" s="48">
        <v>0.23837126091312438</v>
      </c>
      <c r="L171" s="48">
        <v>0.30162634959682932</v>
      </c>
      <c r="M171" s="48">
        <v>8.0167851693126846E-2</v>
      </c>
      <c r="N171"/>
      <c r="O171"/>
      <c r="P171"/>
      <c r="Q171"/>
      <c r="R171"/>
      <c r="S171"/>
      <c r="T171"/>
      <c r="U171"/>
      <c r="V171"/>
      <c r="W171"/>
    </row>
    <row r="172" spans="1:23" x14ac:dyDescent="0.15">
      <c r="A172" s="45" t="s">
        <v>47</v>
      </c>
      <c r="B172" s="48">
        <v>4.2365347001569369E-3</v>
      </c>
      <c r="C172" s="48">
        <v>4.4993735049550065E-2</v>
      </c>
      <c r="D172" s="48">
        <v>0.4325581395348837</v>
      </c>
      <c r="E172" s="48">
        <v>0.24312821204724699</v>
      </c>
      <c r="F172" s="48">
        <v>0.1547310900201323</v>
      </c>
      <c r="G172" s="48">
        <v>0.13444174335822193</v>
      </c>
      <c r="H172" s="48">
        <v>0.31578103282369291</v>
      </c>
      <c r="I172" s="48">
        <v>6.7906928177372478E-3</v>
      </c>
      <c r="J172" s="48"/>
      <c r="K172" s="48">
        <v>0.31703153988868277</v>
      </c>
      <c r="L172" s="48">
        <v>0.35940032414910861</v>
      </c>
      <c r="M172" s="48">
        <v>0.27430263839031882</v>
      </c>
      <c r="N172"/>
      <c r="O172"/>
      <c r="P172"/>
      <c r="Q172"/>
      <c r="R172"/>
      <c r="S172"/>
      <c r="T172"/>
      <c r="U172"/>
      <c r="V172"/>
      <c r="W172"/>
    </row>
    <row r="173" spans="1:23" x14ac:dyDescent="0.15">
      <c r="A173" s="45" t="s">
        <v>48</v>
      </c>
      <c r="B173" s="48">
        <v>1.804059133049361E-3</v>
      </c>
      <c r="C173" s="48">
        <v>0.14648586707410235</v>
      </c>
      <c r="D173" s="48">
        <v>0.46153846153846156</v>
      </c>
      <c r="E173" s="48">
        <v>0.25707862269766241</v>
      </c>
      <c r="F173" s="48">
        <v>0.18175937904269082</v>
      </c>
      <c r="G173" s="48">
        <v>3.7928462661984526E-2</v>
      </c>
      <c r="H173" s="48">
        <v>4.3380262737380361E-2</v>
      </c>
      <c r="I173" s="48">
        <v>1.4999808587129399E-3</v>
      </c>
      <c r="J173" s="48"/>
      <c r="K173" s="48">
        <v>0.38507605701281589</v>
      </c>
      <c r="L173" s="48">
        <v>0.13245337159253945</v>
      </c>
      <c r="M173" s="48">
        <v>0.23747127802868234</v>
      </c>
      <c r="N173"/>
      <c r="O173"/>
      <c r="P173"/>
      <c r="Q173"/>
      <c r="R173"/>
      <c r="S173"/>
      <c r="T173"/>
      <c r="U173"/>
      <c r="V173"/>
      <c r="W173"/>
    </row>
    <row r="174" spans="1:23" x14ac:dyDescent="0.15">
      <c r="A174" s="45" t="s">
        <v>49</v>
      </c>
      <c r="B174" s="48">
        <v>5.3350104639941012E-3</v>
      </c>
      <c r="C174" s="48">
        <v>0.20397167487684728</v>
      </c>
      <c r="D174" s="48">
        <v>0.45710095331214862</v>
      </c>
      <c r="E174" s="48">
        <v>0.32813815121172546</v>
      </c>
      <c r="F174" s="48">
        <v>0.18018433179723503</v>
      </c>
      <c r="G174" s="48">
        <v>4.5725031726096932E-2</v>
      </c>
      <c r="H174" s="48">
        <v>4.3854362508434164E-2</v>
      </c>
      <c r="I174" s="48">
        <v>1.9530765487696666E-2</v>
      </c>
      <c r="J174" s="48"/>
      <c r="K174" s="48">
        <v>0.35461946373889014</v>
      </c>
      <c r="L174" s="48">
        <v>0.12790491396132694</v>
      </c>
      <c r="M174" s="48">
        <v>0.32130439995204413</v>
      </c>
      <c r="N174"/>
      <c r="O174"/>
      <c r="P174"/>
      <c r="Q174"/>
      <c r="R174"/>
      <c r="S174"/>
      <c r="T174"/>
      <c r="U174"/>
      <c r="V174"/>
      <c r="W174"/>
    </row>
    <row r="175" spans="1:23" x14ac:dyDescent="0.15">
      <c r="A175" s="45" t="s">
        <v>50</v>
      </c>
      <c r="B175" s="48">
        <v>7.2200100691107143E-3</v>
      </c>
      <c r="C175" s="48">
        <v>0.20597179983411668</v>
      </c>
      <c r="D175" s="48">
        <v>0.5045189797148022</v>
      </c>
      <c r="E175" s="48">
        <v>0.37452845127096934</v>
      </c>
      <c r="F175" s="48">
        <v>0.20057361376673041</v>
      </c>
      <c r="G175" s="48">
        <v>0.17976792544861755</v>
      </c>
      <c r="H175" s="48">
        <v>5.8026532011448598E-2</v>
      </c>
      <c r="I175" s="48">
        <v>7.6260909433726798E-3</v>
      </c>
      <c r="J175" s="48"/>
      <c r="K175" s="48">
        <v>0.38641611593279718</v>
      </c>
      <c r="L175" s="48">
        <v>0.37919999999999998</v>
      </c>
      <c r="M175" s="48">
        <v>0.44425840829096597</v>
      </c>
      <c r="N175"/>
      <c r="O175"/>
      <c r="P175"/>
      <c r="Q175"/>
      <c r="R175"/>
      <c r="S175"/>
      <c r="T175"/>
      <c r="U175"/>
      <c r="V175"/>
      <c r="W175"/>
    </row>
    <row r="176" spans="1:23" x14ac:dyDescent="0.15">
      <c r="A176" s="45" t="s">
        <v>51</v>
      </c>
      <c r="B176" s="48">
        <v>1.308025876164072E-2</v>
      </c>
      <c r="C176" s="48">
        <v>0.14301525812317178</v>
      </c>
      <c r="D176" s="48">
        <v>0.46902654867256638</v>
      </c>
      <c r="E176" s="48">
        <v>0.41089104025421636</v>
      </c>
      <c r="F176" s="48">
        <v>0.21420784883720931</v>
      </c>
      <c r="G176" s="48">
        <v>0.1921027354903225</v>
      </c>
      <c r="H176" s="48">
        <v>8.1791067069328469E-2</v>
      </c>
      <c r="I176" s="48">
        <v>2.2872950029919167E-2</v>
      </c>
      <c r="J176" s="48"/>
      <c r="K176" s="48">
        <v>0.38235742604452577</v>
      </c>
      <c r="L176" s="48">
        <v>0.46317441419990257</v>
      </c>
      <c r="M176" s="48">
        <v>0.53636570770725156</v>
      </c>
      <c r="N176"/>
      <c r="O176"/>
      <c r="P176"/>
      <c r="Q176"/>
      <c r="R176"/>
      <c r="S176"/>
      <c r="T176"/>
      <c r="U176"/>
      <c r="V176"/>
      <c r="W176"/>
    </row>
    <row r="177" spans="1:23" x14ac:dyDescent="0.15">
      <c r="A177" s="45" t="s">
        <v>53</v>
      </c>
      <c r="B177" s="49">
        <v>9.3063551506343978E-3</v>
      </c>
      <c r="C177" s="49">
        <v>0.15005534433803358</v>
      </c>
      <c r="D177" s="49">
        <v>0.43352601156069365</v>
      </c>
      <c r="E177" s="49">
        <v>0.35548922384829218</v>
      </c>
      <c r="F177" s="49">
        <v>0.19592668024439919</v>
      </c>
      <c r="G177" s="49">
        <v>0.1811757891688387</v>
      </c>
      <c r="H177" s="49">
        <v>7.4258150022375985E-2</v>
      </c>
      <c r="I177" s="49">
        <v>2.2209925097333938E-2</v>
      </c>
      <c r="J177" s="49"/>
      <c r="K177" s="49">
        <v>0.3804569942411295</v>
      </c>
      <c r="L177" s="49">
        <v>0.30471387666139577</v>
      </c>
      <c r="M177" s="49">
        <v>0.66219541877383237</v>
      </c>
      <c r="N177"/>
      <c r="O177"/>
      <c r="P177"/>
      <c r="Q177"/>
      <c r="R177"/>
      <c r="S177"/>
      <c r="T177"/>
      <c r="U177"/>
      <c r="V177"/>
      <c r="W177"/>
    </row>
    <row r="178" spans="1:23" x14ac:dyDescent="0.15">
      <c r="A178" s="45" t="s">
        <v>87</v>
      </c>
      <c r="B178" s="223">
        <v>8.9196205948127386E-3</v>
      </c>
      <c r="C178" s="223">
        <v>0.28227502356723311</v>
      </c>
      <c r="D178" s="223">
        <v>0.43611111111111112</v>
      </c>
      <c r="E178" s="223">
        <v>0.36126485905789485</v>
      </c>
      <c r="F178" s="223">
        <v>0.10375166002656043</v>
      </c>
      <c r="G178" s="223">
        <v>0.24775192716871883</v>
      </c>
      <c r="H178" s="223">
        <v>4.9782989069920694E-2</v>
      </c>
      <c r="I178" s="223">
        <v>2.1062864549578744E-2</v>
      </c>
      <c r="J178" s="223"/>
      <c r="K178" s="223">
        <v>0.24058648533786656</v>
      </c>
      <c r="L178" s="223">
        <v>0.31115350981795054</v>
      </c>
      <c r="M178" s="223">
        <v>0.64436276862734343</v>
      </c>
    </row>
    <row r="179" spans="1:23" x14ac:dyDescent="0.15">
      <c r="A179" s="45" t="s">
        <v>124</v>
      </c>
      <c r="B179" s="223">
        <v>8.712842290232831E-3</v>
      </c>
      <c r="C179" s="223">
        <v>0.55823526083512509</v>
      </c>
      <c r="D179" s="223">
        <v>0.42523162178543594</v>
      </c>
      <c r="E179" s="223">
        <v>0.38022714452891504</v>
      </c>
      <c r="F179" s="223">
        <v>0.15262592428742969</v>
      </c>
      <c r="G179" s="223">
        <v>0.32284028536173714</v>
      </c>
      <c r="H179" s="223">
        <v>4.4672441541228819E-2</v>
      </c>
      <c r="I179" s="223">
        <v>2.854713716836561E-2</v>
      </c>
      <c r="J179" s="223"/>
      <c r="K179" s="223">
        <v>0.23174839767476524</v>
      </c>
      <c r="L179" s="223">
        <v>0.3167139227455168</v>
      </c>
      <c r="M179" s="223">
        <v>0.55262922038846141</v>
      </c>
    </row>
    <row r="180" spans="1:23" x14ac:dyDescent="0.15">
      <c r="A180"/>
      <c r="B180"/>
      <c r="C180"/>
      <c r="D180"/>
      <c r="E180"/>
      <c r="F180"/>
      <c r="G180"/>
      <c r="H180"/>
      <c r="I180"/>
    </row>
    <row r="181" spans="1:23" x14ac:dyDescent="0.15">
      <c r="A181" s="53" t="s">
        <v>63</v>
      </c>
      <c r="B181"/>
      <c r="C181"/>
      <c r="D181"/>
      <c r="E181"/>
      <c r="F181"/>
      <c r="G181"/>
      <c r="H181"/>
      <c r="I181"/>
    </row>
    <row r="182" spans="1:23" x14ac:dyDescent="0.15">
      <c r="A182" s="35" t="s">
        <v>21</v>
      </c>
      <c r="B182" s="227" t="s">
        <v>7</v>
      </c>
      <c r="C182" s="227" t="s">
        <v>8</v>
      </c>
      <c r="D182" s="227" t="s">
        <v>9</v>
      </c>
      <c r="E182" s="227" t="s">
        <v>57</v>
      </c>
      <c r="F182" s="227" t="s">
        <v>11</v>
      </c>
      <c r="G182" s="227" t="s">
        <v>58</v>
      </c>
      <c r="H182" s="227" t="s">
        <v>12</v>
      </c>
      <c r="I182" s="227" t="s">
        <v>13</v>
      </c>
      <c r="J182" s="227" t="s">
        <v>24</v>
      </c>
      <c r="K182" s="227" t="s">
        <v>14</v>
      </c>
      <c r="L182" s="227" t="s">
        <v>17</v>
      </c>
      <c r="M182" s="227" t="s">
        <v>15</v>
      </c>
    </row>
    <row r="183" spans="1:23" x14ac:dyDescent="0.15">
      <c r="A183" s="232">
        <f>A141</f>
        <v>42644</v>
      </c>
      <c r="B183" s="236">
        <v>3839</v>
      </c>
      <c r="C183" s="236">
        <v>5155</v>
      </c>
      <c r="D183" s="236">
        <v>881</v>
      </c>
      <c r="E183" s="236">
        <v>12740</v>
      </c>
      <c r="F183" s="236">
        <v>1167</v>
      </c>
      <c r="G183" s="236">
        <v>12473</v>
      </c>
      <c r="H183" s="236">
        <v>14954</v>
      </c>
      <c r="I183" s="236">
        <v>46405</v>
      </c>
      <c r="J183" s="236"/>
      <c r="K183" s="236">
        <v>3940</v>
      </c>
      <c r="L183" s="236">
        <v>2465</v>
      </c>
      <c r="M183" s="236">
        <v>6727</v>
      </c>
    </row>
    <row r="184" spans="1:23" x14ac:dyDescent="0.15">
      <c r="A184" s="232">
        <f t="shared" ref="A184:A194" si="128">A142</f>
        <v>42675</v>
      </c>
      <c r="B184" s="236">
        <v>3639</v>
      </c>
      <c r="C184" s="236">
        <v>5884</v>
      </c>
      <c r="D184" s="236">
        <v>1197</v>
      </c>
      <c r="E184" s="236">
        <v>13664</v>
      </c>
      <c r="F184" s="236">
        <v>1459</v>
      </c>
      <c r="G184" s="236">
        <v>13676</v>
      </c>
      <c r="H184" s="236">
        <v>18229</v>
      </c>
      <c r="I184" s="236">
        <v>71482</v>
      </c>
      <c r="J184" s="236"/>
      <c r="K184" s="236">
        <v>3889</v>
      </c>
      <c r="L184" s="236">
        <v>2667</v>
      </c>
      <c r="M184" s="236">
        <v>7436</v>
      </c>
    </row>
    <row r="185" spans="1:23" x14ac:dyDescent="0.15">
      <c r="A185" s="232">
        <f t="shared" si="128"/>
        <v>42705</v>
      </c>
      <c r="B185" s="236">
        <v>2976</v>
      </c>
      <c r="C185" s="236">
        <v>4633</v>
      </c>
      <c r="D185" s="236">
        <v>996</v>
      </c>
      <c r="E185" s="236">
        <v>10650</v>
      </c>
      <c r="F185" s="236">
        <v>1367</v>
      </c>
      <c r="G185" s="236">
        <v>11209</v>
      </c>
      <c r="H185" s="236">
        <v>17727</v>
      </c>
      <c r="I185" s="236">
        <v>63262</v>
      </c>
      <c r="J185" s="236"/>
      <c r="K185" s="236">
        <v>2725</v>
      </c>
      <c r="L185" s="236">
        <v>2103</v>
      </c>
      <c r="M185" s="236">
        <v>5424</v>
      </c>
    </row>
    <row r="186" spans="1:23" x14ac:dyDescent="0.15">
      <c r="A186" s="232">
        <f t="shared" si="128"/>
        <v>42736</v>
      </c>
      <c r="B186" s="236">
        <v>3232</v>
      </c>
      <c r="C186" s="236">
        <v>4494</v>
      </c>
      <c r="D186" s="236">
        <v>957</v>
      </c>
      <c r="E186" s="236">
        <v>10126</v>
      </c>
      <c r="F186" s="236">
        <v>1593</v>
      </c>
      <c r="G186" s="236">
        <v>11243</v>
      </c>
      <c r="H186" s="236">
        <v>22446</v>
      </c>
      <c r="I186" s="236">
        <v>63057</v>
      </c>
      <c r="J186" s="236"/>
      <c r="K186" s="236">
        <v>2961</v>
      </c>
      <c r="L186" s="236">
        <v>2260</v>
      </c>
      <c r="M186" s="236">
        <v>5787</v>
      </c>
    </row>
    <row r="187" spans="1:23" x14ac:dyDescent="0.15">
      <c r="A187" s="232">
        <f t="shared" si="128"/>
        <v>42767</v>
      </c>
      <c r="B187" s="236">
        <v>3564</v>
      </c>
      <c r="C187" s="236">
        <v>4974</v>
      </c>
      <c r="D187" s="236">
        <v>893</v>
      </c>
      <c r="E187" s="236">
        <v>10904</v>
      </c>
      <c r="F187" s="236">
        <v>1323</v>
      </c>
      <c r="G187" s="236">
        <v>11889</v>
      </c>
      <c r="H187" s="236">
        <v>18248</v>
      </c>
      <c r="I187" s="236">
        <v>53865</v>
      </c>
      <c r="J187" s="236"/>
      <c r="K187" s="236">
        <v>2826</v>
      </c>
      <c r="L187" s="236">
        <v>2395</v>
      </c>
      <c r="M187" s="236">
        <v>6577</v>
      </c>
    </row>
    <row r="188" spans="1:23" x14ac:dyDescent="0.15">
      <c r="A188" s="232">
        <f t="shared" si="128"/>
        <v>42795</v>
      </c>
      <c r="B188" s="236">
        <v>4168</v>
      </c>
      <c r="C188" s="236">
        <v>6004</v>
      </c>
      <c r="D188" s="236">
        <v>1079</v>
      </c>
      <c r="E188" s="236">
        <v>13222</v>
      </c>
      <c r="F188" s="236">
        <v>1569</v>
      </c>
      <c r="G188" s="236">
        <v>14952</v>
      </c>
      <c r="H188" s="236">
        <v>21146</v>
      </c>
      <c r="I188" s="236">
        <v>57131</v>
      </c>
      <c r="J188" s="236"/>
      <c r="K188" s="236">
        <v>3135</v>
      </c>
      <c r="L188" s="236">
        <v>2646</v>
      </c>
      <c r="M188" s="236">
        <v>7604</v>
      </c>
    </row>
    <row r="189" spans="1:23" x14ac:dyDescent="0.15">
      <c r="A189" s="232">
        <f t="shared" si="128"/>
        <v>42826</v>
      </c>
      <c r="B189" s="236">
        <v>3713</v>
      </c>
      <c r="C189" s="236">
        <v>5913</v>
      </c>
      <c r="D189" s="236">
        <v>1084</v>
      </c>
      <c r="E189" s="236">
        <v>12370</v>
      </c>
      <c r="F189" s="236">
        <v>1535</v>
      </c>
      <c r="G189" s="236">
        <v>13906</v>
      </c>
      <c r="H189" s="236">
        <v>14678</v>
      </c>
      <c r="I189" s="236">
        <v>46301</v>
      </c>
      <c r="J189" s="236"/>
      <c r="K189" s="236">
        <v>3010</v>
      </c>
      <c r="L189" s="236">
        <v>2474</v>
      </c>
      <c r="M189" s="236">
        <v>7567</v>
      </c>
    </row>
    <row r="190" spans="1:23" x14ac:dyDescent="0.15">
      <c r="A190" s="232">
        <f t="shared" si="128"/>
        <v>42856</v>
      </c>
      <c r="B190" s="236">
        <v>4111</v>
      </c>
      <c r="C190" s="236">
        <v>8862</v>
      </c>
      <c r="D190" s="236">
        <v>1183</v>
      </c>
      <c r="E190" s="236">
        <v>12317</v>
      </c>
      <c r="F190" s="236">
        <v>1404</v>
      </c>
      <c r="G190" s="236">
        <v>13307</v>
      </c>
      <c r="H190" s="236">
        <v>12088</v>
      </c>
      <c r="I190" s="236">
        <v>47727</v>
      </c>
      <c r="J190" s="236"/>
      <c r="K190" s="236">
        <v>2874</v>
      </c>
      <c r="L190" s="236">
        <v>2546</v>
      </c>
      <c r="M190" s="236">
        <v>6464</v>
      </c>
    </row>
    <row r="191" spans="1:23" x14ac:dyDescent="0.15">
      <c r="A191" s="232">
        <f t="shared" si="128"/>
        <v>42887</v>
      </c>
      <c r="B191" s="236">
        <v>3560</v>
      </c>
      <c r="C191" s="236">
        <v>7033</v>
      </c>
      <c r="D191" s="236">
        <v>966</v>
      </c>
      <c r="E191" s="236">
        <v>10081</v>
      </c>
      <c r="F191" s="236">
        <v>1272</v>
      </c>
      <c r="G191" s="236">
        <v>11599</v>
      </c>
      <c r="H191" s="236">
        <v>10918</v>
      </c>
      <c r="I191" s="236">
        <v>44685</v>
      </c>
      <c r="J191" s="236"/>
      <c r="K191" s="236">
        <v>2474</v>
      </c>
      <c r="L191" s="236">
        <v>2410</v>
      </c>
      <c r="M191" s="236">
        <v>5005</v>
      </c>
    </row>
    <row r="192" spans="1:23" x14ac:dyDescent="0.15">
      <c r="A192" s="232">
        <f t="shared" si="128"/>
        <v>42917</v>
      </c>
      <c r="B192" s="236">
        <v>3251</v>
      </c>
      <c r="C192" s="236">
        <v>6545</v>
      </c>
      <c r="D192" s="236">
        <v>1010</v>
      </c>
      <c r="E192" s="236">
        <v>8461</v>
      </c>
      <c r="F192" s="236">
        <v>1258</v>
      </c>
      <c r="G192" s="236">
        <v>10834</v>
      </c>
      <c r="H192" s="236">
        <v>11429</v>
      </c>
      <c r="I192" s="236">
        <v>43342</v>
      </c>
      <c r="J192" s="236"/>
      <c r="K192" s="236">
        <v>2169</v>
      </c>
      <c r="L192" s="236">
        <v>2300</v>
      </c>
      <c r="M192" s="236">
        <v>5853</v>
      </c>
    </row>
    <row r="193" spans="1:14" x14ac:dyDescent="0.15">
      <c r="A193" s="232">
        <f t="shared" si="128"/>
        <v>42948</v>
      </c>
      <c r="B193" s="236">
        <v>3595</v>
      </c>
      <c r="C193" s="236">
        <v>8138</v>
      </c>
      <c r="D193" s="236">
        <v>1022</v>
      </c>
      <c r="E193" s="236">
        <v>7325</v>
      </c>
      <c r="F193" s="236">
        <v>1311</v>
      </c>
      <c r="G193" s="236">
        <v>11849</v>
      </c>
      <c r="H193" s="236">
        <v>12669</v>
      </c>
      <c r="I193" s="236">
        <v>42213</v>
      </c>
      <c r="J193" s="236"/>
      <c r="K193" s="236">
        <v>2618</v>
      </c>
      <c r="L193" s="236">
        <v>2317</v>
      </c>
      <c r="M193" s="236">
        <v>7740</v>
      </c>
    </row>
    <row r="194" spans="1:14" x14ac:dyDescent="0.15">
      <c r="A194" s="232">
        <f t="shared" si="128"/>
        <v>42979</v>
      </c>
      <c r="B194" s="236">
        <v>3752</v>
      </c>
      <c r="C194" s="236">
        <v>7873</v>
      </c>
      <c r="D194" s="236">
        <v>1123</v>
      </c>
      <c r="E194" s="236">
        <v>7280</v>
      </c>
      <c r="F194" s="236">
        <v>1513</v>
      </c>
      <c r="G194" s="236">
        <v>12311</v>
      </c>
      <c r="H194" s="236">
        <v>11430</v>
      </c>
      <c r="I194" s="236">
        <v>44495</v>
      </c>
      <c r="J194" s="236"/>
      <c r="K194" s="236">
        <v>2616</v>
      </c>
      <c r="L194" s="236">
        <v>2415</v>
      </c>
      <c r="M194" s="236">
        <v>8394</v>
      </c>
    </row>
    <row r="195" spans="1:14" x14ac:dyDescent="0.15">
      <c r="A195" s="35" t="s">
        <v>62</v>
      </c>
      <c r="B195" s="237">
        <f>SUM(B183:B194)</f>
        <v>43400</v>
      </c>
      <c r="C195" s="237">
        <f t="shared" ref="C195:M195" si="129">SUM(C183:C194)</f>
        <v>75508</v>
      </c>
      <c r="D195" s="237">
        <f t="shared" si="129"/>
        <v>12391</v>
      </c>
      <c r="E195" s="237">
        <f t="shared" si="129"/>
        <v>129140</v>
      </c>
      <c r="F195" s="237">
        <f t="shared" si="129"/>
        <v>16771</v>
      </c>
      <c r="G195" s="237">
        <f t="shared" si="129"/>
        <v>149248</v>
      </c>
      <c r="H195" s="237">
        <f t="shared" si="129"/>
        <v>185962</v>
      </c>
      <c r="I195" s="237">
        <f t="shared" si="129"/>
        <v>623965</v>
      </c>
      <c r="J195" s="237">
        <f t="shared" si="129"/>
        <v>0</v>
      </c>
      <c r="K195" s="237">
        <f t="shared" si="129"/>
        <v>35237</v>
      </c>
      <c r="L195" s="237">
        <f t="shared" si="129"/>
        <v>28998</v>
      </c>
      <c r="M195" s="237">
        <f t="shared" si="129"/>
        <v>80578</v>
      </c>
    </row>
    <row r="196" spans="1:14" x14ac:dyDescent="0.15">
      <c r="A196" s="58" t="s">
        <v>37</v>
      </c>
      <c r="B196" s="24">
        <f>AVERAGE(B183:B194)</f>
        <v>3616.6666666666665</v>
      </c>
      <c r="C196" s="24">
        <f t="shared" ref="C196:M196" si="130">AVERAGE(C183:C194)</f>
        <v>6292.333333333333</v>
      </c>
      <c r="D196" s="24">
        <f t="shared" si="130"/>
        <v>1032.5833333333333</v>
      </c>
      <c r="E196" s="24">
        <f t="shared" si="130"/>
        <v>10761.666666666666</v>
      </c>
      <c r="F196" s="24">
        <f t="shared" si="130"/>
        <v>1397.5833333333333</v>
      </c>
      <c r="G196" s="24">
        <f t="shared" si="130"/>
        <v>12437.333333333334</v>
      </c>
      <c r="H196" s="24">
        <f t="shared" si="130"/>
        <v>15496.833333333334</v>
      </c>
      <c r="I196" s="24">
        <f t="shared" si="130"/>
        <v>51997.083333333336</v>
      </c>
      <c r="J196" s="24"/>
      <c r="K196" s="24">
        <f t="shared" si="130"/>
        <v>2936.4166666666665</v>
      </c>
      <c r="L196" s="24">
        <f t="shared" si="130"/>
        <v>2416.5</v>
      </c>
      <c r="M196" s="24">
        <f t="shared" si="130"/>
        <v>6714.833333333333</v>
      </c>
    </row>
    <row r="197" spans="1:14" x14ac:dyDescent="0.15">
      <c r="A197" s="58" t="s">
        <v>138</v>
      </c>
      <c r="B197" s="211">
        <v>40974</v>
      </c>
      <c r="C197" s="211">
        <v>70696</v>
      </c>
      <c r="D197" s="211">
        <v>11549</v>
      </c>
      <c r="E197" s="211">
        <v>118779</v>
      </c>
      <c r="F197" s="211">
        <v>15823</v>
      </c>
      <c r="G197" s="211">
        <v>141014</v>
      </c>
      <c r="H197" s="211">
        <v>169008</v>
      </c>
      <c r="I197" s="211">
        <v>572807</v>
      </c>
      <c r="J197" s="211"/>
      <c r="K197" s="211">
        <v>33545</v>
      </c>
      <c r="L197" s="211">
        <v>27157</v>
      </c>
      <c r="M197" s="211">
        <v>78103</v>
      </c>
      <c r="N197" s="54" t="s">
        <v>101</v>
      </c>
    </row>
    <row r="198" spans="1:14" x14ac:dyDescent="0.15">
      <c r="A198" s="58" t="s">
        <v>99</v>
      </c>
      <c r="B198" s="195">
        <v>38903</v>
      </c>
      <c r="C198" s="195">
        <v>41371</v>
      </c>
      <c r="D198" s="195">
        <v>8640</v>
      </c>
      <c r="E198" s="195">
        <v>128457</v>
      </c>
      <c r="F198" s="195">
        <v>12048</v>
      </c>
      <c r="G198" s="195">
        <v>143345</v>
      </c>
      <c r="H198" s="195">
        <v>220035</v>
      </c>
      <c r="I198" s="195">
        <v>524620</v>
      </c>
      <c r="J198" s="195"/>
      <c r="K198" s="195">
        <v>23530</v>
      </c>
      <c r="L198" s="195">
        <v>25158</v>
      </c>
      <c r="M198" s="195">
        <v>72917</v>
      </c>
      <c r="N198" s="54" t="s">
        <v>100</v>
      </c>
    </row>
    <row r="199" spans="1:14" x14ac:dyDescent="0.15">
      <c r="A199" s="58"/>
      <c r="B199" s="27"/>
      <c r="C199" s="27"/>
      <c r="D199" s="27"/>
      <c r="E199" s="27"/>
      <c r="F199" s="27"/>
      <c r="G199" s="10"/>
      <c r="H199" s="10"/>
      <c r="I199" s="10"/>
      <c r="J199" s="10"/>
      <c r="K199" s="10"/>
      <c r="L199" s="10"/>
    </row>
    <row r="200" spans="1:14" x14ac:dyDescent="0.15">
      <c r="B200" s="304" t="s">
        <v>64</v>
      </c>
      <c r="C200" s="305"/>
      <c r="D200" s="305"/>
      <c r="E200" s="305"/>
      <c r="F200" s="305"/>
      <c r="G200" s="305"/>
      <c r="H200" s="305"/>
      <c r="I200" s="305"/>
      <c r="J200" s="305"/>
      <c r="K200" s="305"/>
      <c r="L200" s="305"/>
      <c r="M200" s="306"/>
    </row>
    <row r="201" spans="1:14" x14ac:dyDescent="0.15">
      <c r="A201" s="15" t="s">
        <v>21</v>
      </c>
      <c r="B201" s="6" t="s">
        <v>7</v>
      </c>
      <c r="C201" s="6" t="s">
        <v>8</v>
      </c>
      <c r="D201" s="6" t="s">
        <v>9</v>
      </c>
      <c r="E201" s="6" t="s">
        <v>10</v>
      </c>
      <c r="F201" s="6" t="s">
        <v>11</v>
      </c>
      <c r="G201" s="4" t="s">
        <v>19</v>
      </c>
      <c r="H201" s="2" t="s">
        <v>12</v>
      </c>
      <c r="I201" s="4" t="s">
        <v>13</v>
      </c>
      <c r="J201" s="4"/>
      <c r="K201" s="4" t="s">
        <v>14</v>
      </c>
      <c r="L201" s="4" t="s">
        <v>17</v>
      </c>
      <c r="M201" s="4" t="s">
        <v>15</v>
      </c>
      <c r="N201" s="55"/>
    </row>
    <row r="202" spans="1:14" x14ac:dyDescent="0.15">
      <c r="A202" s="231">
        <f>A141</f>
        <v>42644</v>
      </c>
      <c r="B202" s="27">
        <f>B183-B$196</f>
        <v>222.33333333333348</v>
      </c>
      <c r="C202" s="27">
        <f t="shared" ref="C202:I202" si="131">C183-C$196</f>
        <v>-1137.333333333333</v>
      </c>
      <c r="D202" s="27">
        <f t="shared" si="131"/>
        <v>-151.58333333333326</v>
      </c>
      <c r="E202" s="27">
        <f t="shared" si="131"/>
        <v>1978.3333333333339</v>
      </c>
      <c r="F202" s="27">
        <f t="shared" si="131"/>
        <v>-230.58333333333326</v>
      </c>
      <c r="G202" s="27">
        <f t="shared" si="131"/>
        <v>35.66666666666606</v>
      </c>
      <c r="H202" s="27">
        <f t="shared" si="131"/>
        <v>-542.83333333333394</v>
      </c>
      <c r="I202" s="27">
        <f t="shared" si="131"/>
        <v>-5592.0833333333358</v>
      </c>
      <c r="J202" s="27"/>
      <c r="K202" s="27">
        <f t="shared" ref="K202:M213" si="132">K183-K$196</f>
        <v>1003.5833333333335</v>
      </c>
      <c r="L202" s="27">
        <f t="shared" si="132"/>
        <v>48.5</v>
      </c>
      <c r="M202" s="27">
        <f t="shared" si="132"/>
        <v>12.16666666666697</v>
      </c>
      <c r="N202" s="27"/>
    </row>
    <row r="203" spans="1:14" x14ac:dyDescent="0.15">
      <c r="A203" s="231">
        <f t="shared" ref="A203:A213" si="133">A142</f>
        <v>42675</v>
      </c>
      <c r="B203" s="27">
        <f t="shared" ref="B203:I203" si="134">B184-B$196</f>
        <v>22.333333333333485</v>
      </c>
      <c r="C203" s="27">
        <f t="shared" si="134"/>
        <v>-408.33333333333303</v>
      </c>
      <c r="D203" s="27">
        <f t="shared" si="134"/>
        <v>164.41666666666674</v>
      </c>
      <c r="E203" s="27">
        <f t="shared" si="134"/>
        <v>2902.3333333333339</v>
      </c>
      <c r="F203" s="27">
        <f t="shared" si="134"/>
        <v>61.416666666666742</v>
      </c>
      <c r="G203" s="27">
        <f t="shared" si="134"/>
        <v>1238.6666666666661</v>
      </c>
      <c r="H203" s="27">
        <f t="shared" si="134"/>
        <v>2732.1666666666661</v>
      </c>
      <c r="I203" s="27">
        <f t="shared" si="134"/>
        <v>19484.916666666664</v>
      </c>
      <c r="J203" s="27"/>
      <c r="K203" s="27">
        <f t="shared" si="132"/>
        <v>952.58333333333348</v>
      </c>
      <c r="L203" s="27">
        <f t="shared" si="132"/>
        <v>250.5</v>
      </c>
      <c r="M203" s="27">
        <f t="shared" si="132"/>
        <v>721.16666666666697</v>
      </c>
      <c r="N203" s="27"/>
    </row>
    <row r="204" spans="1:14" x14ac:dyDescent="0.15">
      <c r="A204" s="231">
        <f t="shared" si="133"/>
        <v>42705</v>
      </c>
      <c r="B204" s="27">
        <f t="shared" ref="B204:I204" si="135">B185-B$196</f>
        <v>-640.66666666666652</v>
      </c>
      <c r="C204" s="27">
        <f t="shared" si="135"/>
        <v>-1659.333333333333</v>
      </c>
      <c r="D204" s="27">
        <f t="shared" si="135"/>
        <v>-36.583333333333258</v>
      </c>
      <c r="E204" s="27">
        <f t="shared" si="135"/>
        <v>-111.66666666666606</v>
      </c>
      <c r="F204" s="27">
        <f t="shared" si="135"/>
        <v>-30.583333333333258</v>
      </c>
      <c r="G204" s="27">
        <f t="shared" si="135"/>
        <v>-1228.3333333333339</v>
      </c>
      <c r="H204" s="27">
        <f t="shared" si="135"/>
        <v>2230.1666666666661</v>
      </c>
      <c r="I204" s="27">
        <f t="shared" si="135"/>
        <v>11264.916666666664</v>
      </c>
      <c r="J204" s="27"/>
      <c r="K204" s="27">
        <f t="shared" si="132"/>
        <v>-211.41666666666652</v>
      </c>
      <c r="L204" s="27">
        <f t="shared" si="132"/>
        <v>-313.5</v>
      </c>
      <c r="M204" s="27">
        <f t="shared" si="132"/>
        <v>-1290.833333333333</v>
      </c>
      <c r="N204" s="27"/>
    </row>
    <row r="205" spans="1:14" x14ac:dyDescent="0.15">
      <c r="A205" s="231">
        <f t="shared" si="133"/>
        <v>42736</v>
      </c>
      <c r="B205" s="27">
        <f t="shared" ref="B205:I205" si="136">B186-B$196</f>
        <v>-384.66666666666652</v>
      </c>
      <c r="C205" s="27">
        <f t="shared" si="136"/>
        <v>-1798.333333333333</v>
      </c>
      <c r="D205" s="27">
        <f t="shared" si="136"/>
        <v>-75.583333333333258</v>
      </c>
      <c r="E205" s="27">
        <f t="shared" si="136"/>
        <v>-635.66666666666606</v>
      </c>
      <c r="F205" s="27">
        <f t="shared" si="136"/>
        <v>195.41666666666674</v>
      </c>
      <c r="G205" s="27">
        <f t="shared" si="136"/>
        <v>-1194.3333333333339</v>
      </c>
      <c r="H205" s="27">
        <f t="shared" si="136"/>
        <v>6949.1666666666661</v>
      </c>
      <c r="I205" s="27">
        <f t="shared" si="136"/>
        <v>11059.916666666664</v>
      </c>
      <c r="J205" s="27"/>
      <c r="K205" s="27">
        <f t="shared" si="132"/>
        <v>24.583333333333485</v>
      </c>
      <c r="L205" s="27">
        <f t="shared" si="132"/>
        <v>-156.5</v>
      </c>
      <c r="M205" s="27">
        <f t="shared" si="132"/>
        <v>-927.83333333333303</v>
      </c>
      <c r="N205" s="27"/>
    </row>
    <row r="206" spans="1:14" x14ac:dyDescent="0.15">
      <c r="A206" s="231">
        <f t="shared" si="133"/>
        <v>42767</v>
      </c>
      <c r="B206" s="27">
        <f t="shared" ref="B206:I206" si="137">B187-B$196</f>
        <v>-52.666666666666515</v>
      </c>
      <c r="C206" s="27">
        <f t="shared" si="137"/>
        <v>-1318.333333333333</v>
      </c>
      <c r="D206" s="27">
        <f t="shared" si="137"/>
        <v>-139.58333333333326</v>
      </c>
      <c r="E206" s="27">
        <f t="shared" si="137"/>
        <v>142.33333333333394</v>
      </c>
      <c r="F206" s="27">
        <f t="shared" si="137"/>
        <v>-74.583333333333258</v>
      </c>
      <c r="G206" s="27">
        <f t="shared" si="137"/>
        <v>-548.33333333333394</v>
      </c>
      <c r="H206" s="27">
        <f t="shared" si="137"/>
        <v>2751.1666666666661</v>
      </c>
      <c r="I206" s="27">
        <f t="shared" si="137"/>
        <v>1867.9166666666642</v>
      </c>
      <c r="J206" s="27"/>
      <c r="K206" s="27">
        <f t="shared" si="132"/>
        <v>-110.41666666666652</v>
      </c>
      <c r="L206" s="27">
        <f t="shared" si="132"/>
        <v>-21.5</v>
      </c>
      <c r="M206" s="27">
        <f t="shared" si="132"/>
        <v>-137.83333333333303</v>
      </c>
      <c r="N206" s="27"/>
    </row>
    <row r="207" spans="1:14" x14ac:dyDescent="0.15">
      <c r="A207" s="231">
        <f t="shared" si="133"/>
        <v>42795</v>
      </c>
      <c r="B207" s="27">
        <f t="shared" ref="B207:I207" si="138">B188-B$196</f>
        <v>551.33333333333348</v>
      </c>
      <c r="C207" s="27">
        <f t="shared" si="138"/>
        <v>-288.33333333333303</v>
      </c>
      <c r="D207" s="27">
        <f t="shared" si="138"/>
        <v>46.416666666666742</v>
      </c>
      <c r="E207" s="27">
        <f t="shared" si="138"/>
        <v>2460.3333333333339</v>
      </c>
      <c r="F207" s="27">
        <f t="shared" si="138"/>
        <v>171.41666666666674</v>
      </c>
      <c r="G207" s="27">
        <f t="shared" si="138"/>
        <v>2514.6666666666661</v>
      </c>
      <c r="H207" s="27">
        <f t="shared" si="138"/>
        <v>5649.1666666666661</v>
      </c>
      <c r="I207" s="27">
        <f t="shared" si="138"/>
        <v>5133.9166666666642</v>
      </c>
      <c r="J207" s="27"/>
      <c r="K207" s="27">
        <f t="shared" si="132"/>
        <v>198.58333333333348</v>
      </c>
      <c r="L207" s="27">
        <f t="shared" si="132"/>
        <v>229.5</v>
      </c>
      <c r="M207" s="27">
        <f t="shared" si="132"/>
        <v>889.16666666666697</v>
      </c>
      <c r="N207" s="27"/>
    </row>
    <row r="208" spans="1:14" x14ac:dyDescent="0.15">
      <c r="A208" s="231">
        <f t="shared" si="133"/>
        <v>42826</v>
      </c>
      <c r="B208" s="27">
        <f t="shared" ref="B208:I208" si="139">B189-B$196</f>
        <v>96.333333333333485</v>
      </c>
      <c r="C208" s="27">
        <f t="shared" si="139"/>
        <v>-379.33333333333303</v>
      </c>
      <c r="D208" s="27">
        <f t="shared" si="139"/>
        <v>51.416666666666742</v>
      </c>
      <c r="E208" s="27">
        <f t="shared" si="139"/>
        <v>1608.3333333333339</v>
      </c>
      <c r="F208" s="27">
        <f t="shared" si="139"/>
        <v>137.41666666666674</v>
      </c>
      <c r="G208" s="27">
        <f t="shared" si="139"/>
        <v>1468.6666666666661</v>
      </c>
      <c r="H208" s="27">
        <f t="shared" si="139"/>
        <v>-818.83333333333394</v>
      </c>
      <c r="I208" s="27">
        <f t="shared" si="139"/>
        <v>-5696.0833333333358</v>
      </c>
      <c r="J208" s="27"/>
      <c r="K208" s="27">
        <f t="shared" si="132"/>
        <v>73.583333333333485</v>
      </c>
      <c r="L208" s="27">
        <f t="shared" si="132"/>
        <v>57.5</v>
      </c>
      <c r="M208" s="27">
        <f t="shared" si="132"/>
        <v>852.16666666666697</v>
      </c>
      <c r="N208" s="27"/>
    </row>
    <row r="209" spans="1:14" x14ac:dyDescent="0.15">
      <c r="A209" s="231">
        <f t="shared" si="133"/>
        <v>42856</v>
      </c>
      <c r="B209" s="27">
        <f t="shared" ref="B209:I209" si="140">B190-B$196</f>
        <v>494.33333333333348</v>
      </c>
      <c r="C209" s="27">
        <f t="shared" si="140"/>
        <v>2569.666666666667</v>
      </c>
      <c r="D209" s="27">
        <f t="shared" si="140"/>
        <v>150.41666666666674</v>
      </c>
      <c r="E209" s="27">
        <f t="shared" si="140"/>
        <v>1555.3333333333339</v>
      </c>
      <c r="F209" s="27">
        <f t="shared" si="140"/>
        <v>6.4166666666667425</v>
      </c>
      <c r="G209" s="27">
        <f t="shared" si="140"/>
        <v>869.66666666666606</v>
      </c>
      <c r="H209" s="27">
        <f t="shared" si="140"/>
        <v>-3408.8333333333339</v>
      </c>
      <c r="I209" s="27">
        <f t="shared" si="140"/>
        <v>-4270.0833333333358</v>
      </c>
      <c r="J209" s="27"/>
      <c r="K209" s="27">
        <f t="shared" si="132"/>
        <v>-62.416666666666515</v>
      </c>
      <c r="L209" s="27">
        <f t="shared" si="132"/>
        <v>129.5</v>
      </c>
      <c r="M209" s="27">
        <f t="shared" si="132"/>
        <v>-250.83333333333303</v>
      </c>
      <c r="N209" s="27"/>
    </row>
    <row r="210" spans="1:14" x14ac:dyDescent="0.15">
      <c r="A210" s="231">
        <f t="shared" si="133"/>
        <v>42887</v>
      </c>
      <c r="B210" s="27">
        <f t="shared" ref="B210:I210" si="141">B191-B$196</f>
        <v>-56.666666666666515</v>
      </c>
      <c r="C210" s="27">
        <f t="shared" si="141"/>
        <v>740.66666666666697</v>
      </c>
      <c r="D210" s="27">
        <f t="shared" si="141"/>
        <v>-66.583333333333258</v>
      </c>
      <c r="E210" s="27">
        <f t="shared" si="141"/>
        <v>-680.66666666666606</v>
      </c>
      <c r="F210" s="27">
        <f t="shared" si="141"/>
        <v>-125.58333333333326</v>
      </c>
      <c r="G210" s="27">
        <f t="shared" si="141"/>
        <v>-838.33333333333394</v>
      </c>
      <c r="H210" s="27">
        <f t="shared" si="141"/>
        <v>-4578.8333333333339</v>
      </c>
      <c r="I210" s="27">
        <f t="shared" si="141"/>
        <v>-7312.0833333333358</v>
      </c>
      <c r="J210" s="27"/>
      <c r="K210" s="27">
        <f t="shared" si="132"/>
        <v>-462.41666666666652</v>
      </c>
      <c r="L210" s="27">
        <f t="shared" si="132"/>
        <v>-6.5</v>
      </c>
      <c r="M210" s="27">
        <f t="shared" si="132"/>
        <v>-1709.833333333333</v>
      </c>
      <c r="N210" s="27"/>
    </row>
    <row r="211" spans="1:14" x14ac:dyDescent="0.15">
      <c r="A211" s="231">
        <f t="shared" si="133"/>
        <v>42917</v>
      </c>
      <c r="B211" s="27">
        <f t="shared" ref="B211:I211" si="142">B192-B$196</f>
        <v>-365.66666666666652</v>
      </c>
      <c r="C211" s="27">
        <f t="shared" si="142"/>
        <v>252.66666666666697</v>
      </c>
      <c r="D211" s="27">
        <f t="shared" si="142"/>
        <v>-22.583333333333258</v>
      </c>
      <c r="E211" s="27">
        <f t="shared" si="142"/>
        <v>-2300.6666666666661</v>
      </c>
      <c r="F211" s="27">
        <f t="shared" si="142"/>
        <v>-139.58333333333326</v>
      </c>
      <c r="G211" s="27">
        <f t="shared" si="142"/>
        <v>-1603.3333333333339</v>
      </c>
      <c r="H211" s="27">
        <f t="shared" si="142"/>
        <v>-4067.8333333333339</v>
      </c>
      <c r="I211" s="27">
        <f t="shared" si="142"/>
        <v>-8655.0833333333358</v>
      </c>
      <c r="J211" s="27"/>
      <c r="K211" s="27">
        <f t="shared" si="132"/>
        <v>-767.41666666666652</v>
      </c>
      <c r="L211" s="27">
        <f t="shared" si="132"/>
        <v>-116.5</v>
      </c>
      <c r="M211" s="27">
        <f t="shared" si="132"/>
        <v>-861.83333333333303</v>
      </c>
      <c r="N211" s="27"/>
    </row>
    <row r="212" spans="1:14" x14ac:dyDescent="0.15">
      <c r="A212" s="231">
        <f t="shared" si="133"/>
        <v>42948</v>
      </c>
      <c r="B212" s="27">
        <f t="shared" ref="B212:I212" si="143">B193-B$196</f>
        <v>-21.666666666666515</v>
      </c>
      <c r="C212" s="27">
        <f t="shared" si="143"/>
        <v>1845.666666666667</v>
      </c>
      <c r="D212" s="27">
        <f t="shared" si="143"/>
        <v>-10.583333333333258</v>
      </c>
      <c r="E212" s="27">
        <f t="shared" si="143"/>
        <v>-3436.6666666666661</v>
      </c>
      <c r="F212" s="27">
        <f t="shared" si="143"/>
        <v>-86.583333333333258</v>
      </c>
      <c r="G212" s="27">
        <f t="shared" si="143"/>
        <v>-588.33333333333394</v>
      </c>
      <c r="H212" s="27">
        <f t="shared" si="143"/>
        <v>-2827.8333333333339</v>
      </c>
      <c r="I212" s="27">
        <f t="shared" si="143"/>
        <v>-9784.0833333333358</v>
      </c>
      <c r="J212" s="27"/>
      <c r="K212" s="27">
        <f t="shared" si="132"/>
        <v>-318.41666666666652</v>
      </c>
      <c r="L212" s="27">
        <f t="shared" si="132"/>
        <v>-99.5</v>
      </c>
      <c r="M212" s="27">
        <f t="shared" si="132"/>
        <v>1025.166666666667</v>
      </c>
      <c r="N212" s="27"/>
    </row>
    <row r="213" spans="1:14" x14ac:dyDescent="0.15">
      <c r="A213" s="231">
        <f t="shared" si="133"/>
        <v>42979</v>
      </c>
      <c r="B213" s="27">
        <f t="shared" ref="B213:I213" si="144">B194-B$196</f>
        <v>135.33333333333348</v>
      </c>
      <c r="C213" s="27">
        <f t="shared" si="144"/>
        <v>1580.666666666667</v>
      </c>
      <c r="D213" s="27">
        <f t="shared" si="144"/>
        <v>90.416666666666742</v>
      </c>
      <c r="E213" s="27">
        <f t="shared" si="144"/>
        <v>-3481.6666666666661</v>
      </c>
      <c r="F213" s="27">
        <f t="shared" si="144"/>
        <v>115.41666666666674</v>
      </c>
      <c r="G213" s="27">
        <f t="shared" si="144"/>
        <v>-126.33333333333394</v>
      </c>
      <c r="H213" s="27">
        <f t="shared" si="144"/>
        <v>-4066.8333333333339</v>
      </c>
      <c r="I213" s="27">
        <f t="shared" si="144"/>
        <v>-7502.0833333333358</v>
      </c>
      <c r="J213" s="27"/>
      <c r="K213" s="27">
        <f t="shared" si="132"/>
        <v>-320.41666666666652</v>
      </c>
      <c r="L213" s="27">
        <f t="shared" si="132"/>
        <v>-1.5</v>
      </c>
      <c r="M213" s="27">
        <f t="shared" si="132"/>
        <v>1679.166666666667</v>
      </c>
      <c r="N213" s="27"/>
    </row>
    <row r="214" spans="1:14" x14ac:dyDescent="0.15">
      <c r="A214" s="228" t="s">
        <v>16</v>
      </c>
      <c r="B214" s="27">
        <f>SUM(B202:B213)</f>
        <v>1.8189894035458565E-12</v>
      </c>
      <c r="C214" s="27">
        <f t="shared" ref="C214:M214" si="145">SUM(C202:C213)</f>
        <v>3.637978807091713E-12</v>
      </c>
      <c r="D214" s="27">
        <f t="shared" si="145"/>
        <v>9.0949470177292824E-13</v>
      </c>
      <c r="E214" s="27">
        <f t="shared" si="145"/>
        <v>7.2759576141834259E-12</v>
      </c>
      <c r="F214" s="27">
        <f t="shared" si="145"/>
        <v>9.0949470177292824E-13</v>
      </c>
      <c r="G214" s="27">
        <f t="shared" si="145"/>
        <v>-7.2759576141834259E-12</v>
      </c>
      <c r="H214" s="27">
        <f t="shared" si="145"/>
        <v>-5.4569682106375694E-12</v>
      </c>
      <c r="I214" s="27">
        <f t="shared" si="145"/>
        <v>-2.9103830456733704E-11</v>
      </c>
      <c r="J214" s="27"/>
      <c r="K214" s="27">
        <f t="shared" si="145"/>
        <v>1.8189894035458565E-12</v>
      </c>
      <c r="L214" s="27">
        <f t="shared" si="145"/>
        <v>0</v>
      </c>
      <c r="M214" s="27">
        <f t="shared" si="145"/>
        <v>3.637978807091713E-12</v>
      </c>
      <c r="N214" s="27"/>
    </row>
    <row r="215" spans="1:14" x14ac:dyDescent="0.15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</row>
    <row r="216" spans="1:14" x14ac:dyDescent="0.15">
      <c r="B216" s="307" t="s">
        <v>65</v>
      </c>
      <c r="C216" s="308"/>
      <c r="D216" s="308"/>
      <c r="E216" s="308"/>
      <c r="F216" s="308"/>
      <c r="G216" s="308"/>
      <c r="H216" s="308"/>
      <c r="I216" s="308"/>
      <c r="J216" s="308"/>
      <c r="K216" s="308"/>
      <c r="L216" s="308"/>
      <c r="M216" s="308"/>
    </row>
    <row r="217" spans="1:14" x14ac:dyDescent="0.15">
      <c r="A217" s="30" t="s">
        <v>21</v>
      </c>
      <c r="B217" s="56" t="s">
        <v>7</v>
      </c>
      <c r="C217" s="56" t="s">
        <v>8</v>
      </c>
      <c r="D217" s="56" t="s">
        <v>9</v>
      </c>
      <c r="E217" s="56" t="s">
        <v>10</v>
      </c>
      <c r="F217" s="56" t="s">
        <v>11</v>
      </c>
      <c r="G217" s="56" t="s">
        <v>19</v>
      </c>
      <c r="H217" s="57" t="s">
        <v>12</v>
      </c>
      <c r="I217" s="56" t="s">
        <v>13</v>
      </c>
      <c r="J217" s="72" t="s">
        <v>24</v>
      </c>
      <c r="K217" s="56" t="s">
        <v>14</v>
      </c>
      <c r="L217" s="56" t="s">
        <v>17</v>
      </c>
      <c r="M217" s="56" t="s">
        <v>15</v>
      </c>
      <c r="N217" s="27"/>
    </row>
    <row r="218" spans="1:14" x14ac:dyDescent="0.15">
      <c r="A218" s="231">
        <f>A202</f>
        <v>42644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</row>
    <row r="219" spans="1:14" x14ac:dyDescent="0.15">
      <c r="A219" s="231">
        <f t="shared" ref="A219:A229" si="146">A203</f>
        <v>42675</v>
      </c>
      <c r="B219" s="27">
        <f>B184-B183</f>
        <v>-200</v>
      </c>
      <c r="C219" s="27">
        <f t="shared" ref="C219:I219" si="147">C184-C183</f>
        <v>729</v>
      </c>
      <c r="D219" s="27">
        <f t="shared" si="147"/>
        <v>316</v>
      </c>
      <c r="E219" s="27">
        <f t="shared" si="147"/>
        <v>924</v>
      </c>
      <c r="F219" s="27">
        <f t="shared" si="147"/>
        <v>292</v>
      </c>
      <c r="G219" s="27">
        <f t="shared" si="147"/>
        <v>1203</v>
      </c>
      <c r="H219" s="27">
        <f t="shared" si="147"/>
        <v>3275</v>
      </c>
      <c r="I219" s="27">
        <f t="shared" si="147"/>
        <v>25077</v>
      </c>
      <c r="J219" s="27"/>
      <c r="K219" s="27">
        <f t="shared" ref="K219:M229" si="148">K184-K183</f>
        <v>-51</v>
      </c>
      <c r="L219" s="27">
        <f t="shared" si="148"/>
        <v>202</v>
      </c>
      <c r="M219" s="27">
        <f t="shared" si="148"/>
        <v>709</v>
      </c>
      <c r="N219" s="27"/>
    </row>
    <row r="220" spans="1:14" x14ac:dyDescent="0.15">
      <c r="A220" s="231">
        <f t="shared" si="146"/>
        <v>42705</v>
      </c>
      <c r="B220" s="27">
        <f t="shared" ref="B220:I220" si="149">B185-B184</f>
        <v>-663</v>
      </c>
      <c r="C220" s="27">
        <f t="shared" si="149"/>
        <v>-1251</v>
      </c>
      <c r="D220" s="27">
        <f t="shared" si="149"/>
        <v>-201</v>
      </c>
      <c r="E220" s="27">
        <f t="shared" si="149"/>
        <v>-3014</v>
      </c>
      <c r="F220" s="27">
        <f t="shared" si="149"/>
        <v>-92</v>
      </c>
      <c r="G220" s="27">
        <f t="shared" si="149"/>
        <v>-2467</v>
      </c>
      <c r="H220" s="27">
        <f t="shared" si="149"/>
        <v>-502</v>
      </c>
      <c r="I220" s="27">
        <f t="shared" si="149"/>
        <v>-8220</v>
      </c>
      <c r="J220" s="27"/>
      <c r="K220" s="27">
        <f t="shared" si="148"/>
        <v>-1164</v>
      </c>
      <c r="L220" s="27">
        <f t="shared" si="148"/>
        <v>-564</v>
      </c>
      <c r="M220" s="27">
        <f t="shared" si="148"/>
        <v>-2012</v>
      </c>
      <c r="N220" s="27"/>
    </row>
    <row r="221" spans="1:14" x14ac:dyDescent="0.15">
      <c r="A221" s="231">
        <f t="shared" si="146"/>
        <v>42736</v>
      </c>
      <c r="B221" s="27">
        <f t="shared" ref="B221:I221" si="150">B186-B185</f>
        <v>256</v>
      </c>
      <c r="C221" s="27">
        <f t="shared" si="150"/>
        <v>-139</v>
      </c>
      <c r="D221" s="27">
        <f t="shared" si="150"/>
        <v>-39</v>
      </c>
      <c r="E221" s="27">
        <f t="shared" si="150"/>
        <v>-524</v>
      </c>
      <c r="F221" s="27">
        <f t="shared" si="150"/>
        <v>226</v>
      </c>
      <c r="G221" s="27">
        <f t="shared" si="150"/>
        <v>34</v>
      </c>
      <c r="H221" s="27">
        <f t="shared" si="150"/>
        <v>4719</v>
      </c>
      <c r="I221" s="27">
        <f t="shared" si="150"/>
        <v>-205</v>
      </c>
      <c r="J221" s="27"/>
      <c r="K221" s="27">
        <f t="shared" si="148"/>
        <v>236</v>
      </c>
      <c r="L221" s="27">
        <f t="shared" si="148"/>
        <v>157</v>
      </c>
      <c r="M221" s="27">
        <f t="shared" si="148"/>
        <v>363</v>
      </c>
      <c r="N221" s="27"/>
    </row>
    <row r="222" spans="1:14" x14ac:dyDescent="0.15">
      <c r="A222" s="231">
        <f t="shared" si="146"/>
        <v>42767</v>
      </c>
      <c r="B222" s="27">
        <f t="shared" ref="B222:I222" si="151">B187-B186</f>
        <v>332</v>
      </c>
      <c r="C222" s="27">
        <f t="shared" si="151"/>
        <v>480</v>
      </c>
      <c r="D222" s="27">
        <f t="shared" si="151"/>
        <v>-64</v>
      </c>
      <c r="E222" s="27">
        <f t="shared" si="151"/>
        <v>778</v>
      </c>
      <c r="F222" s="27">
        <f t="shared" si="151"/>
        <v>-270</v>
      </c>
      <c r="G222" s="27">
        <f t="shared" si="151"/>
        <v>646</v>
      </c>
      <c r="H222" s="27">
        <f t="shared" si="151"/>
        <v>-4198</v>
      </c>
      <c r="I222" s="27">
        <f t="shared" si="151"/>
        <v>-9192</v>
      </c>
      <c r="J222" s="27"/>
      <c r="K222" s="27">
        <f t="shared" si="148"/>
        <v>-135</v>
      </c>
      <c r="L222" s="27">
        <f t="shared" si="148"/>
        <v>135</v>
      </c>
      <c r="M222" s="27">
        <f t="shared" si="148"/>
        <v>790</v>
      </c>
      <c r="N222" s="27"/>
    </row>
    <row r="223" spans="1:14" x14ac:dyDescent="0.15">
      <c r="A223" s="231">
        <f t="shared" si="146"/>
        <v>42795</v>
      </c>
      <c r="B223" s="27">
        <f t="shared" ref="B223:I223" si="152">B188-B187</f>
        <v>604</v>
      </c>
      <c r="C223" s="27">
        <f t="shared" si="152"/>
        <v>1030</v>
      </c>
      <c r="D223" s="27">
        <f t="shared" si="152"/>
        <v>186</v>
      </c>
      <c r="E223" s="27">
        <f t="shared" si="152"/>
        <v>2318</v>
      </c>
      <c r="F223" s="27">
        <f t="shared" si="152"/>
        <v>246</v>
      </c>
      <c r="G223" s="27">
        <f t="shared" si="152"/>
        <v>3063</v>
      </c>
      <c r="H223" s="27">
        <f t="shared" si="152"/>
        <v>2898</v>
      </c>
      <c r="I223" s="27">
        <f t="shared" si="152"/>
        <v>3266</v>
      </c>
      <c r="J223" s="27"/>
      <c r="K223" s="27">
        <f t="shared" si="148"/>
        <v>309</v>
      </c>
      <c r="L223" s="27">
        <f t="shared" si="148"/>
        <v>251</v>
      </c>
      <c r="M223" s="27">
        <f t="shared" si="148"/>
        <v>1027</v>
      </c>
      <c r="N223" s="27"/>
    </row>
    <row r="224" spans="1:14" x14ac:dyDescent="0.15">
      <c r="A224" s="231">
        <f t="shared" si="146"/>
        <v>42826</v>
      </c>
      <c r="B224" s="27">
        <f t="shared" ref="B224:I224" si="153">B189-B188</f>
        <v>-455</v>
      </c>
      <c r="C224" s="27">
        <f t="shared" si="153"/>
        <v>-91</v>
      </c>
      <c r="D224" s="27">
        <f t="shared" si="153"/>
        <v>5</v>
      </c>
      <c r="E224" s="27">
        <f t="shared" si="153"/>
        <v>-852</v>
      </c>
      <c r="F224" s="27">
        <f t="shared" si="153"/>
        <v>-34</v>
      </c>
      <c r="G224" s="27">
        <f t="shared" si="153"/>
        <v>-1046</v>
      </c>
      <c r="H224" s="27">
        <f t="shared" si="153"/>
        <v>-6468</v>
      </c>
      <c r="I224" s="27">
        <f t="shared" si="153"/>
        <v>-10830</v>
      </c>
      <c r="J224" s="27"/>
      <c r="K224" s="27">
        <f t="shared" si="148"/>
        <v>-125</v>
      </c>
      <c r="L224" s="27">
        <f t="shared" si="148"/>
        <v>-172</v>
      </c>
      <c r="M224" s="27">
        <f t="shared" si="148"/>
        <v>-37</v>
      </c>
      <c r="N224" s="27"/>
    </row>
    <row r="225" spans="1:34" x14ac:dyDescent="0.15">
      <c r="A225" s="231">
        <f t="shared" si="146"/>
        <v>42856</v>
      </c>
      <c r="B225" s="27">
        <f t="shared" ref="B225:I225" si="154">B190-B189</f>
        <v>398</v>
      </c>
      <c r="C225" s="27">
        <f t="shared" si="154"/>
        <v>2949</v>
      </c>
      <c r="D225" s="27">
        <f t="shared" si="154"/>
        <v>99</v>
      </c>
      <c r="E225" s="27">
        <f t="shared" si="154"/>
        <v>-53</v>
      </c>
      <c r="F225" s="27">
        <f t="shared" si="154"/>
        <v>-131</v>
      </c>
      <c r="G225" s="27">
        <f t="shared" si="154"/>
        <v>-599</v>
      </c>
      <c r="H225" s="27">
        <f t="shared" si="154"/>
        <v>-2590</v>
      </c>
      <c r="I225" s="27">
        <f t="shared" si="154"/>
        <v>1426</v>
      </c>
      <c r="J225" s="27"/>
      <c r="K225" s="27">
        <f t="shared" si="148"/>
        <v>-136</v>
      </c>
      <c r="L225" s="27">
        <f t="shared" si="148"/>
        <v>72</v>
      </c>
      <c r="M225" s="27">
        <f t="shared" si="148"/>
        <v>-1103</v>
      </c>
      <c r="N225" s="27"/>
    </row>
    <row r="226" spans="1:34" x14ac:dyDescent="0.15">
      <c r="A226" s="231">
        <f t="shared" si="146"/>
        <v>42887</v>
      </c>
      <c r="B226" s="27">
        <f t="shared" ref="B226:I226" si="155">B191-B190</f>
        <v>-551</v>
      </c>
      <c r="C226" s="27">
        <f t="shared" si="155"/>
        <v>-1829</v>
      </c>
      <c r="D226" s="27">
        <f t="shared" si="155"/>
        <v>-217</v>
      </c>
      <c r="E226" s="27">
        <f t="shared" si="155"/>
        <v>-2236</v>
      </c>
      <c r="F226" s="27">
        <f t="shared" si="155"/>
        <v>-132</v>
      </c>
      <c r="G226" s="27">
        <f t="shared" si="155"/>
        <v>-1708</v>
      </c>
      <c r="H226" s="27">
        <f t="shared" si="155"/>
        <v>-1170</v>
      </c>
      <c r="I226" s="27">
        <f t="shared" si="155"/>
        <v>-3042</v>
      </c>
      <c r="J226" s="27"/>
      <c r="K226" s="27">
        <f t="shared" si="148"/>
        <v>-400</v>
      </c>
      <c r="L226" s="27">
        <f t="shared" si="148"/>
        <v>-136</v>
      </c>
      <c r="M226" s="27">
        <f t="shared" si="148"/>
        <v>-1459</v>
      </c>
      <c r="N226" s="27"/>
    </row>
    <row r="227" spans="1:34" x14ac:dyDescent="0.15">
      <c r="A227" s="231">
        <f t="shared" si="146"/>
        <v>42917</v>
      </c>
      <c r="B227" s="27">
        <f t="shared" ref="B227:I227" si="156">B192-B191</f>
        <v>-309</v>
      </c>
      <c r="C227" s="27">
        <f t="shared" si="156"/>
        <v>-488</v>
      </c>
      <c r="D227" s="27">
        <f t="shared" si="156"/>
        <v>44</v>
      </c>
      <c r="E227" s="27">
        <f t="shared" si="156"/>
        <v>-1620</v>
      </c>
      <c r="F227" s="27">
        <f t="shared" si="156"/>
        <v>-14</v>
      </c>
      <c r="G227" s="27">
        <f t="shared" si="156"/>
        <v>-765</v>
      </c>
      <c r="H227" s="27">
        <f t="shared" si="156"/>
        <v>511</v>
      </c>
      <c r="I227" s="27">
        <f t="shared" si="156"/>
        <v>-1343</v>
      </c>
      <c r="J227" s="27"/>
      <c r="K227" s="27">
        <f t="shared" si="148"/>
        <v>-305</v>
      </c>
      <c r="L227" s="27">
        <f t="shared" si="148"/>
        <v>-110</v>
      </c>
      <c r="M227" s="27">
        <f t="shared" si="148"/>
        <v>848</v>
      </c>
      <c r="N227" s="27"/>
    </row>
    <row r="228" spans="1:34" x14ac:dyDescent="0.15">
      <c r="A228" s="231">
        <f t="shared" si="146"/>
        <v>42948</v>
      </c>
      <c r="B228" s="27">
        <f t="shared" ref="B228:I228" si="157">B193-B192</f>
        <v>344</v>
      </c>
      <c r="C228" s="27">
        <f t="shared" si="157"/>
        <v>1593</v>
      </c>
      <c r="D228" s="27">
        <f t="shared" si="157"/>
        <v>12</v>
      </c>
      <c r="E228" s="27">
        <f t="shared" si="157"/>
        <v>-1136</v>
      </c>
      <c r="F228" s="27">
        <f t="shared" si="157"/>
        <v>53</v>
      </c>
      <c r="G228" s="27">
        <f t="shared" si="157"/>
        <v>1015</v>
      </c>
      <c r="H228" s="27">
        <f t="shared" si="157"/>
        <v>1240</v>
      </c>
      <c r="I228" s="27">
        <f t="shared" si="157"/>
        <v>-1129</v>
      </c>
      <c r="J228" s="27"/>
      <c r="K228" s="27">
        <f t="shared" si="148"/>
        <v>449</v>
      </c>
      <c r="L228" s="27">
        <f t="shared" si="148"/>
        <v>17</v>
      </c>
      <c r="M228" s="27">
        <f t="shared" si="148"/>
        <v>1887</v>
      </c>
      <c r="N228" s="27"/>
    </row>
    <row r="229" spans="1:34" x14ac:dyDescent="0.15">
      <c r="A229" s="231">
        <f t="shared" si="146"/>
        <v>42979</v>
      </c>
      <c r="B229" s="27">
        <f t="shared" ref="B229:I229" si="158">B194-B193</f>
        <v>157</v>
      </c>
      <c r="C229" s="27">
        <f t="shared" si="158"/>
        <v>-265</v>
      </c>
      <c r="D229" s="27">
        <f t="shared" si="158"/>
        <v>101</v>
      </c>
      <c r="E229" s="27">
        <f t="shared" si="158"/>
        <v>-45</v>
      </c>
      <c r="F229" s="27">
        <f t="shared" si="158"/>
        <v>202</v>
      </c>
      <c r="G229" s="27">
        <f t="shared" si="158"/>
        <v>462</v>
      </c>
      <c r="H229" s="27">
        <f t="shared" si="158"/>
        <v>-1239</v>
      </c>
      <c r="I229" s="27">
        <f t="shared" si="158"/>
        <v>2282</v>
      </c>
      <c r="J229" s="27"/>
      <c r="K229" s="27">
        <f t="shared" si="148"/>
        <v>-2</v>
      </c>
      <c r="L229" s="27">
        <f t="shared" si="148"/>
        <v>98</v>
      </c>
      <c r="M229" s="27">
        <f t="shared" si="148"/>
        <v>654</v>
      </c>
      <c r="N229" s="27"/>
    </row>
    <row r="230" spans="1:34" x14ac:dyDescent="0.15">
      <c r="A230" s="54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</row>
    <row r="231" spans="1:34" x14ac:dyDescent="0.15">
      <c r="A231" s="54"/>
    </row>
    <row r="232" spans="1:34" x14ac:dyDescent="0.15">
      <c r="A232" s="53" t="s">
        <v>69</v>
      </c>
    </row>
    <row r="233" spans="1:34" x14ac:dyDescent="0.15">
      <c r="A233" s="35"/>
      <c r="B233" s="301" t="s">
        <v>7</v>
      </c>
      <c r="C233" s="302"/>
      <c r="D233" s="303"/>
      <c r="E233" s="301" t="s">
        <v>8</v>
      </c>
      <c r="F233" s="302"/>
      <c r="G233" s="303"/>
      <c r="H233" s="301" t="s">
        <v>9</v>
      </c>
      <c r="I233" s="302"/>
      <c r="J233" s="303"/>
      <c r="K233" s="301" t="s">
        <v>57</v>
      </c>
      <c r="L233" s="302"/>
      <c r="M233" s="303"/>
      <c r="N233" s="301" t="s">
        <v>11</v>
      </c>
      <c r="O233" s="302"/>
      <c r="P233" s="303"/>
      <c r="Q233" s="301" t="s">
        <v>58</v>
      </c>
      <c r="R233" s="302"/>
      <c r="S233" s="303"/>
      <c r="T233" s="301" t="s">
        <v>12</v>
      </c>
      <c r="U233" s="302"/>
      <c r="V233" s="303"/>
      <c r="W233" s="301" t="s">
        <v>13</v>
      </c>
      <c r="X233" s="302"/>
      <c r="Y233" s="303"/>
      <c r="Z233" s="301" t="s">
        <v>14</v>
      </c>
      <c r="AA233" s="302"/>
      <c r="AB233" s="303"/>
      <c r="AC233" s="301" t="s">
        <v>17</v>
      </c>
      <c r="AD233" s="302"/>
      <c r="AE233" s="303"/>
      <c r="AF233" s="301" t="s">
        <v>15</v>
      </c>
      <c r="AG233" s="302"/>
      <c r="AH233" s="303"/>
    </row>
    <row r="234" spans="1:34" x14ac:dyDescent="0.15">
      <c r="A234" s="230" t="s">
        <v>68</v>
      </c>
      <c r="B234" s="227" t="s">
        <v>60</v>
      </c>
      <c r="C234" s="227" t="s">
        <v>61</v>
      </c>
      <c r="D234" s="227" t="s">
        <v>59</v>
      </c>
      <c r="E234" s="227" t="s">
        <v>60</v>
      </c>
      <c r="F234" s="227" t="s">
        <v>61</v>
      </c>
      <c r="G234" s="227" t="s">
        <v>59</v>
      </c>
      <c r="H234" s="227" t="s">
        <v>60</v>
      </c>
      <c r="I234" s="227" t="s">
        <v>61</v>
      </c>
      <c r="J234" s="227" t="s">
        <v>59</v>
      </c>
      <c r="K234" s="227" t="s">
        <v>60</v>
      </c>
      <c r="L234" s="227" t="s">
        <v>61</v>
      </c>
      <c r="M234" s="227" t="s">
        <v>59</v>
      </c>
      <c r="N234" s="227" t="s">
        <v>60</v>
      </c>
      <c r="O234" s="227" t="s">
        <v>61</v>
      </c>
      <c r="P234" s="227" t="s">
        <v>59</v>
      </c>
      <c r="Q234" s="227" t="s">
        <v>60</v>
      </c>
      <c r="R234" s="227" t="s">
        <v>61</v>
      </c>
      <c r="S234" s="227" t="s">
        <v>59</v>
      </c>
      <c r="T234" s="227" t="s">
        <v>60</v>
      </c>
      <c r="U234" s="227" t="s">
        <v>61</v>
      </c>
      <c r="V234" s="227" t="s">
        <v>59</v>
      </c>
      <c r="W234" s="227" t="s">
        <v>60</v>
      </c>
      <c r="X234" s="227" t="s">
        <v>61</v>
      </c>
      <c r="Y234" s="227" t="s">
        <v>59</v>
      </c>
      <c r="Z234" s="227" t="s">
        <v>60</v>
      </c>
      <c r="AA234" s="227" t="s">
        <v>61</v>
      </c>
      <c r="AB234" s="227" t="s">
        <v>59</v>
      </c>
      <c r="AC234" s="227" t="s">
        <v>60</v>
      </c>
      <c r="AD234" s="227" t="s">
        <v>61</v>
      </c>
      <c r="AE234" s="227" t="s">
        <v>59</v>
      </c>
      <c r="AF234" s="227" t="s">
        <v>60</v>
      </c>
      <c r="AG234" s="227" t="s">
        <v>61</v>
      </c>
      <c r="AH234" s="227" t="s">
        <v>59</v>
      </c>
    </row>
    <row r="235" spans="1:34" x14ac:dyDescent="0.15">
      <c r="A235" s="229" t="s">
        <v>67</v>
      </c>
      <c r="B235" s="35">
        <v>125817</v>
      </c>
      <c r="C235" s="35">
        <v>1394032</v>
      </c>
      <c r="D235" s="35">
        <v>84470</v>
      </c>
      <c r="E235" s="35"/>
      <c r="F235" s="35"/>
      <c r="G235" s="35"/>
      <c r="H235" s="35"/>
      <c r="I235" s="35"/>
      <c r="J235" s="35"/>
      <c r="K235" s="35">
        <v>141171</v>
      </c>
      <c r="L235" s="35">
        <v>1607037</v>
      </c>
      <c r="M235" s="35">
        <v>78948</v>
      </c>
      <c r="N235" s="35"/>
      <c r="O235" s="35"/>
      <c r="P235" s="35"/>
      <c r="Q235" s="35">
        <v>74193</v>
      </c>
      <c r="R235" s="35">
        <v>735937</v>
      </c>
      <c r="S235" s="35">
        <v>41991</v>
      </c>
      <c r="T235" s="35">
        <v>53574</v>
      </c>
      <c r="U235" s="35">
        <v>979938</v>
      </c>
      <c r="V235" s="35">
        <v>17740</v>
      </c>
      <c r="W235" s="35">
        <v>257646</v>
      </c>
      <c r="X235" s="35">
        <v>2285747</v>
      </c>
      <c r="Y235" s="35">
        <v>187325</v>
      </c>
      <c r="Z235" s="35">
        <v>11242</v>
      </c>
      <c r="AA235" s="35">
        <v>117277</v>
      </c>
      <c r="AB235" s="35">
        <v>7857</v>
      </c>
      <c r="AC235" s="35">
        <v>43722</v>
      </c>
      <c r="AD235" s="35">
        <v>479754</v>
      </c>
      <c r="AE235" s="35">
        <v>24748</v>
      </c>
      <c r="AF235" s="35"/>
      <c r="AG235" s="35"/>
      <c r="AH235" s="35"/>
    </row>
    <row r="236" spans="1:34" x14ac:dyDescent="0.15">
      <c r="A236" s="229" t="s">
        <v>45</v>
      </c>
      <c r="B236" s="35">
        <v>145765</v>
      </c>
      <c r="C236" s="35">
        <v>1613397</v>
      </c>
      <c r="D236" s="35">
        <v>96327</v>
      </c>
      <c r="E236" s="35">
        <v>7745</v>
      </c>
      <c r="F236" s="35">
        <v>86406</v>
      </c>
      <c r="G236" s="35">
        <v>4014</v>
      </c>
      <c r="H236" s="35"/>
      <c r="I236" s="35"/>
      <c r="J236" s="35"/>
      <c r="K236" s="35">
        <v>143781</v>
      </c>
      <c r="L236" s="35">
        <v>1636681</v>
      </c>
      <c r="M236" s="35">
        <v>82771</v>
      </c>
      <c r="N236" s="35"/>
      <c r="O236" s="35"/>
      <c r="P236" s="35"/>
      <c r="Q236" s="35">
        <v>78161</v>
      </c>
      <c r="R236" s="35">
        <v>757185</v>
      </c>
      <c r="S236" s="35">
        <v>44726</v>
      </c>
      <c r="T236" s="35">
        <v>64290</v>
      </c>
      <c r="U236" s="35">
        <v>1137682</v>
      </c>
      <c r="V236" s="35">
        <v>22482</v>
      </c>
      <c r="W236" s="35">
        <v>347349</v>
      </c>
      <c r="X236" s="35">
        <v>2710866</v>
      </c>
      <c r="Y236" s="35">
        <v>244569</v>
      </c>
      <c r="Z236" s="35">
        <v>16433</v>
      </c>
      <c r="AA236" s="35">
        <v>152974</v>
      </c>
      <c r="AB236" s="35">
        <v>11683</v>
      </c>
      <c r="AC236" s="35">
        <v>24190</v>
      </c>
      <c r="AD236" s="35">
        <v>168092</v>
      </c>
      <c r="AE236" s="35">
        <v>16844</v>
      </c>
      <c r="AF236" s="35"/>
      <c r="AG236" s="35"/>
      <c r="AH236" s="35"/>
    </row>
    <row r="237" spans="1:34" x14ac:dyDescent="0.15">
      <c r="A237" s="229" t="s">
        <v>46</v>
      </c>
      <c r="B237" s="35">
        <v>160681</v>
      </c>
      <c r="C237" s="35">
        <v>1799677</v>
      </c>
      <c r="D237" s="35">
        <v>109905</v>
      </c>
      <c r="E237" s="35">
        <v>6366</v>
      </c>
      <c r="F237" s="35">
        <v>86010</v>
      </c>
      <c r="G237" s="35">
        <v>2548</v>
      </c>
      <c r="H237" s="35">
        <v>1195</v>
      </c>
      <c r="I237" s="35">
        <v>7220</v>
      </c>
      <c r="J237" s="35">
        <v>979</v>
      </c>
      <c r="K237" s="35">
        <v>144585</v>
      </c>
      <c r="L237" s="35">
        <v>3472493</v>
      </c>
      <c r="M237" s="35">
        <v>80801</v>
      </c>
      <c r="N237" s="35">
        <v>3563</v>
      </c>
      <c r="O237" s="35">
        <v>25293</v>
      </c>
      <c r="P237" s="35">
        <v>2011</v>
      </c>
      <c r="Q237" s="35">
        <v>53247</v>
      </c>
      <c r="R237" s="35">
        <v>377739</v>
      </c>
      <c r="S237" s="35">
        <v>34902</v>
      </c>
      <c r="T237" s="35">
        <v>74206</v>
      </c>
      <c r="U237" s="35">
        <v>1298537</v>
      </c>
      <c r="V237" s="35">
        <v>29103</v>
      </c>
      <c r="W237" s="35">
        <v>440891</v>
      </c>
      <c r="X237" s="35">
        <v>3202873</v>
      </c>
      <c r="Y237" s="35">
        <v>289997</v>
      </c>
      <c r="Z237" s="35">
        <v>19070</v>
      </c>
      <c r="AA237" s="35">
        <v>161490</v>
      </c>
      <c r="AB237" s="35">
        <v>13974</v>
      </c>
      <c r="AC237" s="35">
        <v>19878</v>
      </c>
      <c r="AD237" s="35">
        <v>111178</v>
      </c>
      <c r="AE237" s="35">
        <v>14634</v>
      </c>
      <c r="AF237" s="35">
        <v>155635</v>
      </c>
      <c r="AG237" s="35">
        <v>921255</v>
      </c>
      <c r="AH237" s="35">
        <v>123204</v>
      </c>
    </row>
    <row r="238" spans="1:34" x14ac:dyDescent="0.15">
      <c r="A238" s="229" t="s">
        <v>47</v>
      </c>
      <c r="B238" s="35">
        <v>191478</v>
      </c>
      <c r="C238" s="35">
        <v>2205316</v>
      </c>
      <c r="D238" s="35">
        <v>129351</v>
      </c>
      <c r="E238" s="35">
        <v>16270</v>
      </c>
      <c r="F238" s="35">
        <v>184821</v>
      </c>
      <c r="G238" s="35">
        <v>8779</v>
      </c>
      <c r="H238" s="35">
        <v>2241</v>
      </c>
      <c r="I238" s="35">
        <v>13695</v>
      </c>
      <c r="J238" s="35">
        <v>1935</v>
      </c>
      <c r="K238" s="35">
        <v>155369</v>
      </c>
      <c r="L238" s="35">
        <v>5690078</v>
      </c>
      <c r="M238" s="35">
        <v>81529</v>
      </c>
      <c r="N238" s="35">
        <v>5044</v>
      </c>
      <c r="O238" s="35">
        <v>37090</v>
      </c>
      <c r="P238" s="35">
        <v>3477</v>
      </c>
      <c r="Q238" s="35">
        <v>35281</v>
      </c>
      <c r="R238" s="35">
        <v>251786</v>
      </c>
      <c r="S238" s="35">
        <v>23036</v>
      </c>
      <c r="T238" s="35">
        <v>87176</v>
      </c>
      <c r="U238" s="35">
        <v>1513257</v>
      </c>
      <c r="V238" s="35">
        <v>37412</v>
      </c>
      <c r="W238" s="35">
        <v>435375</v>
      </c>
      <c r="X238" s="35">
        <v>2700947</v>
      </c>
      <c r="Y238" s="35">
        <v>287305</v>
      </c>
      <c r="Z238" s="35">
        <v>18437</v>
      </c>
      <c r="AA238" s="35">
        <v>152661</v>
      </c>
      <c r="AB238" s="35">
        <v>13475</v>
      </c>
      <c r="AC238" s="35">
        <v>19897</v>
      </c>
      <c r="AD238" s="35">
        <v>103047</v>
      </c>
      <c r="AE238" s="35">
        <v>14808</v>
      </c>
      <c r="AF238" s="35">
        <v>142290</v>
      </c>
      <c r="AG238" s="35">
        <v>801448</v>
      </c>
      <c r="AH238" s="35">
        <v>117837</v>
      </c>
    </row>
    <row r="239" spans="1:34" x14ac:dyDescent="0.15">
      <c r="A239" s="229" t="s">
        <v>48</v>
      </c>
      <c r="B239" s="35">
        <v>199316</v>
      </c>
      <c r="C239" s="35">
        <v>2420483</v>
      </c>
      <c r="D239" s="35">
        <v>139685</v>
      </c>
      <c r="E239" s="35">
        <v>13772</v>
      </c>
      <c r="F239" s="35">
        <v>177994</v>
      </c>
      <c r="G239" s="35">
        <v>5236</v>
      </c>
      <c r="H239" s="35">
        <v>2504</v>
      </c>
      <c r="I239" s="35">
        <v>57720</v>
      </c>
      <c r="J239" s="35">
        <v>2093</v>
      </c>
      <c r="K239" s="35">
        <v>191134</v>
      </c>
      <c r="L239" s="35">
        <v>7011266</v>
      </c>
      <c r="M239" s="35">
        <v>108531</v>
      </c>
      <c r="N239" s="35">
        <v>4566</v>
      </c>
      <c r="O239" s="35">
        <v>143683</v>
      </c>
      <c r="P239" s="35">
        <v>3092</v>
      </c>
      <c r="Q239" s="35">
        <v>94768</v>
      </c>
      <c r="R239" s="35">
        <v>915566</v>
      </c>
      <c r="S239" s="35">
        <v>64358</v>
      </c>
      <c r="T239" s="35">
        <v>230192</v>
      </c>
      <c r="U239" s="35">
        <v>3059401</v>
      </c>
      <c r="V239" s="35">
        <v>118902</v>
      </c>
      <c r="W239" s="35">
        <v>425601</v>
      </c>
      <c r="X239" s="35">
        <v>3745528</v>
      </c>
      <c r="Y239" s="35">
        <v>287337</v>
      </c>
      <c r="Z239" s="35">
        <v>11300</v>
      </c>
      <c r="AA239" s="35">
        <v>165812</v>
      </c>
      <c r="AB239" s="35">
        <v>8349</v>
      </c>
      <c r="AC239" s="35">
        <v>25614</v>
      </c>
      <c r="AD239" s="35">
        <v>205349</v>
      </c>
      <c r="AE239" s="35">
        <v>17425</v>
      </c>
      <c r="AF239" s="35">
        <v>119831</v>
      </c>
      <c r="AG239" s="35">
        <v>714477</v>
      </c>
      <c r="AH239" s="35">
        <v>100968</v>
      </c>
    </row>
    <row r="240" spans="1:34" x14ac:dyDescent="0.15">
      <c r="A240" s="229" t="s">
        <v>49</v>
      </c>
      <c r="B240" s="35">
        <v>165200</v>
      </c>
      <c r="C240" s="35">
        <v>1743569</v>
      </c>
      <c r="D240" s="35">
        <v>106536</v>
      </c>
      <c r="E240" s="35">
        <v>13439</v>
      </c>
      <c r="F240" s="35">
        <v>124754</v>
      </c>
      <c r="G240" s="35">
        <v>7258</v>
      </c>
      <c r="H240" s="35">
        <v>5628</v>
      </c>
      <c r="I240" s="35">
        <v>108135</v>
      </c>
      <c r="J240" s="35">
        <v>4486</v>
      </c>
      <c r="K240" s="35">
        <v>214570</v>
      </c>
      <c r="L240" s="35">
        <v>7631590</v>
      </c>
      <c r="M240" s="35">
        <v>120292</v>
      </c>
      <c r="N240" s="35">
        <v>6236</v>
      </c>
      <c r="O240" s="35">
        <v>50572</v>
      </c>
      <c r="P240" s="35">
        <v>4606</v>
      </c>
      <c r="Q240" s="35">
        <v>205451</v>
      </c>
      <c r="R240" s="35">
        <v>1386094</v>
      </c>
      <c r="S240" s="35">
        <v>164546</v>
      </c>
      <c r="T240" s="35">
        <v>652612</v>
      </c>
      <c r="U240" s="35">
        <v>7811167</v>
      </c>
      <c r="V240" s="35">
        <v>343312</v>
      </c>
      <c r="W240" s="35">
        <v>536704</v>
      </c>
      <c r="X240" s="35">
        <v>3727105</v>
      </c>
      <c r="Y240" s="35">
        <v>356268</v>
      </c>
      <c r="Z240" s="35">
        <v>18181</v>
      </c>
      <c r="AA240" s="35">
        <v>103414</v>
      </c>
      <c r="AB240" s="35">
        <v>14448</v>
      </c>
      <c r="AC240" s="35">
        <v>28056</v>
      </c>
      <c r="AD240" s="35">
        <v>221636</v>
      </c>
      <c r="AE240" s="35">
        <v>19278</v>
      </c>
      <c r="AF240" s="35">
        <v>127843</v>
      </c>
      <c r="AG240" s="35">
        <v>813099</v>
      </c>
      <c r="AH240" s="35">
        <v>107713</v>
      </c>
    </row>
    <row r="241" spans="1:34" x14ac:dyDescent="0.15">
      <c r="A241" s="229" t="s">
        <v>50</v>
      </c>
      <c r="B241" s="35">
        <v>159750</v>
      </c>
      <c r="C241" s="35">
        <v>1808786</v>
      </c>
      <c r="D241" s="35">
        <v>100981</v>
      </c>
      <c r="E241" s="35">
        <v>13782</v>
      </c>
      <c r="F241" s="35">
        <v>122536</v>
      </c>
      <c r="G241" s="35">
        <v>8039</v>
      </c>
      <c r="H241" s="35">
        <v>8326</v>
      </c>
      <c r="I241" s="35">
        <v>347006</v>
      </c>
      <c r="J241" s="35">
        <v>5414</v>
      </c>
      <c r="K241" s="35">
        <v>225553</v>
      </c>
      <c r="L241" s="35">
        <v>9735100</v>
      </c>
      <c r="M241" s="35">
        <v>125907</v>
      </c>
      <c r="N241" s="35">
        <v>7576</v>
      </c>
      <c r="O241" s="35">
        <v>62644</v>
      </c>
      <c r="P241" s="35">
        <v>5560</v>
      </c>
      <c r="Q241" s="35">
        <v>127574</v>
      </c>
      <c r="R241" s="35">
        <v>958322</v>
      </c>
      <c r="S241" s="35">
        <v>89098</v>
      </c>
      <c r="T241" s="35">
        <v>605342</v>
      </c>
      <c r="U241" s="35">
        <v>7137162</v>
      </c>
      <c r="V241" s="35">
        <v>310180</v>
      </c>
      <c r="W241" s="35">
        <v>629406</v>
      </c>
      <c r="X241" s="35">
        <v>3935194</v>
      </c>
      <c r="Y241" s="35">
        <v>416514</v>
      </c>
      <c r="Z241" s="35">
        <v>17118</v>
      </c>
      <c r="AA241" s="35">
        <v>89676</v>
      </c>
      <c r="AB241" s="35">
        <v>13493</v>
      </c>
      <c r="AC241" s="35">
        <v>28531</v>
      </c>
      <c r="AD241" s="35">
        <v>206051</v>
      </c>
      <c r="AE241" s="35">
        <v>19950</v>
      </c>
      <c r="AF241" s="35">
        <v>106840</v>
      </c>
      <c r="AG241" s="35">
        <v>917822</v>
      </c>
      <c r="AH241" s="35">
        <v>87904</v>
      </c>
    </row>
    <row r="242" spans="1:34" x14ac:dyDescent="0.15">
      <c r="A242" s="229" t="s">
        <v>51</v>
      </c>
      <c r="B242" s="35">
        <v>47436</v>
      </c>
      <c r="C242" s="35">
        <v>483566</v>
      </c>
      <c r="D242" s="35">
        <v>31305</v>
      </c>
      <c r="E242" s="35">
        <v>20584</v>
      </c>
      <c r="F242" s="35">
        <v>142425</v>
      </c>
      <c r="G242" s="35">
        <v>13983</v>
      </c>
      <c r="H242" s="35">
        <v>6975</v>
      </c>
      <c r="I242" s="35">
        <v>122957</v>
      </c>
      <c r="J242" s="35">
        <v>4896</v>
      </c>
      <c r="K242" s="35">
        <v>217305</v>
      </c>
      <c r="L242" s="35">
        <v>10234228</v>
      </c>
      <c r="M242" s="35">
        <v>120646</v>
      </c>
      <c r="N242" s="35">
        <v>8071</v>
      </c>
      <c r="O242" s="35">
        <v>70567</v>
      </c>
      <c r="P242" s="35">
        <v>5858</v>
      </c>
      <c r="Q242" s="35">
        <v>119538</v>
      </c>
      <c r="R242" s="35">
        <v>744359</v>
      </c>
      <c r="S242" s="35">
        <v>86934</v>
      </c>
      <c r="T242" s="35">
        <v>466031</v>
      </c>
      <c r="U242" s="35">
        <v>5830786</v>
      </c>
      <c r="V242" s="35">
        <v>244340</v>
      </c>
      <c r="W242" s="35">
        <v>645434</v>
      </c>
      <c r="X242" s="35">
        <v>3629180</v>
      </c>
      <c r="Y242" s="35">
        <v>446833</v>
      </c>
      <c r="Z242" s="35">
        <v>18982</v>
      </c>
      <c r="AA242" s="35">
        <v>113142</v>
      </c>
      <c r="AB242" s="35">
        <v>14175</v>
      </c>
      <c r="AC242" s="35">
        <v>29876</v>
      </c>
      <c r="AD242" s="35">
        <v>200215</v>
      </c>
      <c r="AE242" s="35">
        <v>21105</v>
      </c>
      <c r="AF242" s="35">
        <v>107864</v>
      </c>
      <c r="AG242" s="35">
        <v>895322</v>
      </c>
      <c r="AH242" s="35">
        <v>90311</v>
      </c>
    </row>
    <row r="243" spans="1:34" x14ac:dyDescent="0.15">
      <c r="A243" s="229" t="s">
        <v>53</v>
      </c>
      <c r="B243" s="35">
        <v>52864</v>
      </c>
      <c r="C243" s="35">
        <v>501339</v>
      </c>
      <c r="D243" s="35">
        <v>35782</v>
      </c>
      <c r="E243" s="35">
        <v>30739</v>
      </c>
      <c r="F243" s="35">
        <v>203901</v>
      </c>
      <c r="G243" s="35">
        <v>20779</v>
      </c>
      <c r="H243" s="35">
        <v>8284</v>
      </c>
      <c r="I243" s="35">
        <v>53139</v>
      </c>
      <c r="J243" s="35">
        <v>6574</v>
      </c>
      <c r="K243" s="35">
        <v>246689</v>
      </c>
      <c r="L243" s="35">
        <v>6004302</v>
      </c>
      <c r="M243" s="35">
        <v>141377</v>
      </c>
      <c r="N243" s="35">
        <v>10494</v>
      </c>
      <c r="O243" s="35">
        <v>102909</v>
      </c>
      <c r="P243" s="35">
        <v>7365</v>
      </c>
      <c r="Q243" s="35">
        <v>140454</v>
      </c>
      <c r="R243" s="35">
        <v>865811</v>
      </c>
      <c r="S243" s="35">
        <v>103590</v>
      </c>
      <c r="T243" s="35">
        <v>443373</v>
      </c>
      <c r="U243" s="35">
        <v>5429821</v>
      </c>
      <c r="V243" s="35">
        <v>232392</v>
      </c>
      <c r="W243" s="35">
        <v>729565</v>
      </c>
      <c r="X243" s="35">
        <v>4032173</v>
      </c>
      <c r="Y243" s="35">
        <v>505990</v>
      </c>
      <c r="Z243" s="35">
        <v>14071</v>
      </c>
      <c r="AA243" s="35">
        <v>97324</v>
      </c>
      <c r="AB243" s="35">
        <v>10766</v>
      </c>
      <c r="AC243" s="35">
        <v>37165</v>
      </c>
      <c r="AD243" s="35">
        <v>270832</v>
      </c>
      <c r="AE243" s="35">
        <v>23399</v>
      </c>
      <c r="AF243" s="35">
        <v>89576</v>
      </c>
      <c r="AG243" s="35">
        <v>938136</v>
      </c>
      <c r="AH243" s="35">
        <v>73954</v>
      </c>
    </row>
    <row r="244" spans="1:34" x14ac:dyDescent="0.15">
      <c r="A244" s="229" t="s">
        <v>87</v>
      </c>
      <c r="B244" s="35">
        <v>55046</v>
      </c>
      <c r="C244" s="35">
        <v>542003</v>
      </c>
      <c r="D244" s="35">
        <v>38903</v>
      </c>
      <c r="E244" s="35">
        <v>65720</v>
      </c>
      <c r="F244" s="35">
        <v>295582</v>
      </c>
      <c r="G244" s="35">
        <v>41371</v>
      </c>
      <c r="H244" s="35">
        <v>10869</v>
      </c>
      <c r="I244" s="35">
        <v>64554</v>
      </c>
      <c r="J244" s="35">
        <v>8640</v>
      </c>
      <c r="K244" s="35">
        <v>206088</v>
      </c>
      <c r="L244" s="35">
        <v>2180301</v>
      </c>
      <c r="M244" s="35">
        <v>128457</v>
      </c>
      <c r="N244" s="35">
        <v>17347</v>
      </c>
      <c r="O244" s="35">
        <v>140576</v>
      </c>
      <c r="P244" s="35">
        <v>12048</v>
      </c>
      <c r="Q244" s="35">
        <v>189171</v>
      </c>
      <c r="R244" s="35">
        <v>1096949</v>
      </c>
      <c r="S244" s="35">
        <v>143345</v>
      </c>
      <c r="T244" s="35">
        <v>412847</v>
      </c>
      <c r="U244" s="35">
        <v>4971411</v>
      </c>
      <c r="V244" s="35">
        <v>220035</v>
      </c>
      <c r="W244" s="35">
        <v>766328</v>
      </c>
      <c r="X244" s="35">
        <v>3772779</v>
      </c>
      <c r="Y244" s="35">
        <v>524620</v>
      </c>
      <c r="Z244" s="35">
        <v>31846</v>
      </c>
      <c r="AA244" s="35">
        <v>275875</v>
      </c>
      <c r="AB244" s="35">
        <v>23530</v>
      </c>
      <c r="AC244" s="35">
        <v>36216</v>
      </c>
      <c r="AD244" s="35">
        <v>303768</v>
      </c>
      <c r="AE244" s="35">
        <v>25158</v>
      </c>
      <c r="AF244" s="35">
        <v>88746</v>
      </c>
      <c r="AG244" s="35">
        <v>893022</v>
      </c>
      <c r="AH244" s="35">
        <v>72917</v>
      </c>
    </row>
    <row r="245" spans="1:34" x14ac:dyDescent="0.15">
      <c r="A245" s="229" t="s">
        <v>124</v>
      </c>
      <c r="B245" s="212">
        <v>58238</v>
      </c>
      <c r="C245" s="212">
        <v>551711</v>
      </c>
      <c r="D245" s="212">
        <v>40974</v>
      </c>
      <c r="E245" s="212">
        <v>108364</v>
      </c>
      <c r="F245" s="212">
        <v>388556</v>
      </c>
      <c r="G245" s="212">
        <v>70696</v>
      </c>
      <c r="H245" s="212">
        <v>14866</v>
      </c>
      <c r="I245" s="212">
        <v>96028</v>
      </c>
      <c r="J245" s="212">
        <v>11549</v>
      </c>
      <c r="K245" s="212">
        <v>190206</v>
      </c>
      <c r="L245" s="212">
        <v>1902393</v>
      </c>
      <c r="M245" s="212">
        <v>118779</v>
      </c>
      <c r="N245" s="212">
        <v>23160</v>
      </c>
      <c r="O245" s="212">
        <v>392057</v>
      </c>
      <c r="P245" s="212">
        <v>15823</v>
      </c>
      <c r="Q245" s="212">
        <v>195153</v>
      </c>
      <c r="R245" s="212">
        <v>1059513</v>
      </c>
      <c r="S245" s="212">
        <v>141014</v>
      </c>
      <c r="T245" s="212">
        <v>301594</v>
      </c>
      <c r="U245" s="212">
        <v>3294341</v>
      </c>
      <c r="V245" s="212">
        <v>169008</v>
      </c>
      <c r="W245" s="212">
        <v>857579</v>
      </c>
      <c r="X245" s="212">
        <v>4071275</v>
      </c>
      <c r="Y245" s="212">
        <v>572807</v>
      </c>
      <c r="Z245" s="212">
        <v>46518</v>
      </c>
      <c r="AA245" s="212">
        <v>454588</v>
      </c>
      <c r="AB245" s="212">
        <v>33545</v>
      </c>
      <c r="AC245" s="212">
        <v>39732</v>
      </c>
      <c r="AD245" s="212">
        <v>343100</v>
      </c>
      <c r="AE245" s="212">
        <v>27157</v>
      </c>
      <c r="AF245" s="212">
        <v>94980</v>
      </c>
      <c r="AG245" s="212">
        <v>923167</v>
      </c>
      <c r="AH245" s="212">
        <v>78103</v>
      </c>
    </row>
    <row r="246" spans="1:34" x14ac:dyDescent="0.15">
      <c r="A246" t="s">
        <v>62</v>
      </c>
      <c r="B246">
        <f>SUM(B235:B245)</f>
        <v>1361591</v>
      </c>
      <c r="C246">
        <f t="shared" ref="C246:AH246" si="159">SUM(C235:C245)</f>
        <v>15063879</v>
      </c>
      <c r="D246">
        <f t="shared" si="159"/>
        <v>914219</v>
      </c>
      <c r="E246">
        <f t="shared" si="159"/>
        <v>296781</v>
      </c>
      <c r="F246">
        <f t="shared" si="159"/>
        <v>1812985</v>
      </c>
      <c r="G246">
        <f t="shared" si="159"/>
        <v>182703</v>
      </c>
      <c r="H246">
        <f t="shared" si="159"/>
        <v>60888</v>
      </c>
      <c r="I246">
        <f t="shared" si="159"/>
        <v>870454</v>
      </c>
      <c r="J246">
        <f t="shared" si="159"/>
        <v>46566</v>
      </c>
      <c r="K246">
        <f t="shared" si="159"/>
        <v>2076451</v>
      </c>
      <c r="L246">
        <f t="shared" si="159"/>
        <v>57105469</v>
      </c>
      <c r="M246">
        <f t="shared" si="159"/>
        <v>1188038</v>
      </c>
      <c r="N246">
        <f t="shared" si="159"/>
        <v>86057</v>
      </c>
      <c r="O246">
        <f t="shared" si="159"/>
        <v>1025391</v>
      </c>
      <c r="P246">
        <f t="shared" si="159"/>
        <v>59840</v>
      </c>
      <c r="Q246">
        <f t="shared" si="159"/>
        <v>1312991</v>
      </c>
      <c r="R246">
        <f t="shared" si="159"/>
        <v>9149261</v>
      </c>
      <c r="S246">
        <f t="shared" si="159"/>
        <v>937540</v>
      </c>
      <c r="T246">
        <f t="shared" si="159"/>
        <v>3391237</v>
      </c>
      <c r="U246">
        <f t="shared" si="159"/>
        <v>42463503</v>
      </c>
      <c r="V246">
        <f t="shared" si="159"/>
        <v>1744906</v>
      </c>
      <c r="W246">
        <f t="shared" si="159"/>
        <v>6071878</v>
      </c>
      <c r="X246">
        <f t="shared" si="159"/>
        <v>37813667</v>
      </c>
      <c r="Y246">
        <f t="shared" si="159"/>
        <v>4119565</v>
      </c>
      <c r="Z246">
        <f t="shared" si="159"/>
        <v>223198</v>
      </c>
      <c r="AA246">
        <f t="shared" si="159"/>
        <v>1884233</v>
      </c>
      <c r="AB246">
        <f t="shared" si="159"/>
        <v>165295</v>
      </c>
      <c r="AC246">
        <f t="shared" si="159"/>
        <v>332877</v>
      </c>
      <c r="AD246">
        <f t="shared" si="159"/>
        <v>2613022</v>
      </c>
      <c r="AE246">
        <f t="shared" si="159"/>
        <v>224506</v>
      </c>
      <c r="AF246">
        <f t="shared" si="159"/>
        <v>1033605</v>
      </c>
      <c r="AG246">
        <f t="shared" si="159"/>
        <v>7817748</v>
      </c>
      <c r="AH246">
        <f t="shared" si="159"/>
        <v>852911</v>
      </c>
    </row>
    <row r="247" spans="1:34" x14ac:dyDescent="0.15">
      <c r="B247" s="54" t="s">
        <v>101</v>
      </c>
    </row>
  </sheetData>
  <mergeCells count="21">
    <mergeCell ref="B139:M139"/>
    <mergeCell ref="B19:M19"/>
    <mergeCell ref="B35:M35"/>
    <mergeCell ref="B71:M71"/>
    <mergeCell ref="B87:M87"/>
    <mergeCell ref="B123:M123"/>
    <mergeCell ref="B200:M200"/>
    <mergeCell ref="B216:M216"/>
    <mergeCell ref="A168:H168"/>
    <mergeCell ref="A155:M155"/>
    <mergeCell ref="B233:D233"/>
    <mergeCell ref="E233:G233"/>
    <mergeCell ref="H233:J233"/>
    <mergeCell ref="K233:M233"/>
    <mergeCell ref="AC233:AE233"/>
    <mergeCell ref="AF233:AH233"/>
    <mergeCell ref="N233:P233"/>
    <mergeCell ref="Q233:S233"/>
    <mergeCell ref="T233:V233"/>
    <mergeCell ref="W233:Y233"/>
    <mergeCell ref="Z233:AB233"/>
  </mergeCells>
  <pageMargins left="0.75" right="0.7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R28"/>
  <sheetViews>
    <sheetView topLeftCell="F1" zoomScale="90" zoomScaleNormal="90" workbookViewId="0">
      <selection activeCell="N3" sqref="N3"/>
    </sheetView>
  </sheetViews>
  <sheetFormatPr baseColWidth="10" defaultColWidth="8.83203125" defaultRowHeight="13" x14ac:dyDescent="0.15"/>
  <cols>
    <col min="1" max="1" width="6" customWidth="1"/>
    <col min="2" max="4" width="15.6640625" customWidth="1"/>
    <col min="5" max="5" width="20.1640625" customWidth="1"/>
    <col min="6" max="6" width="13.33203125" customWidth="1"/>
    <col min="7" max="7" width="11.33203125" customWidth="1"/>
    <col min="8" max="8" width="12.5" customWidth="1"/>
    <col min="9" max="9" width="14.33203125" customWidth="1"/>
    <col min="10" max="10" width="11.33203125" customWidth="1"/>
    <col min="11" max="12" width="14.5" customWidth="1"/>
    <col min="13" max="13" width="12.83203125" customWidth="1"/>
    <col min="14" max="14" width="10.33203125" bestFit="1" customWidth="1"/>
    <col min="15" max="15" width="15" bestFit="1" customWidth="1"/>
    <col min="20" max="20" width="19.1640625" customWidth="1"/>
  </cols>
  <sheetData>
    <row r="1" spans="2:16" ht="39" customHeight="1" x14ac:dyDescent="0.15">
      <c r="B1" s="300" t="s">
        <v>107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2:16" ht="42" customHeight="1" x14ac:dyDescent="0.15"/>
    <row r="3" spans="2:16" ht="26.25" customHeight="1" x14ac:dyDescent="0.15">
      <c r="B3" s="137" t="s">
        <v>44</v>
      </c>
      <c r="C3" s="150" t="s">
        <v>26</v>
      </c>
      <c r="D3" s="151" t="s">
        <v>22</v>
      </c>
      <c r="E3" s="150" t="s">
        <v>27</v>
      </c>
      <c r="F3" s="150" t="s">
        <v>23</v>
      </c>
      <c r="G3" s="150" t="s">
        <v>28</v>
      </c>
      <c r="H3" s="151" t="s">
        <v>141</v>
      </c>
      <c r="I3" s="151" t="s">
        <v>142</v>
      </c>
      <c r="J3" s="151" t="s">
        <v>29</v>
      </c>
      <c r="K3" s="151" t="s">
        <v>108</v>
      </c>
      <c r="L3" s="151" t="s">
        <v>143</v>
      </c>
      <c r="M3" s="152" t="s">
        <v>123</v>
      </c>
      <c r="N3" s="153" t="s">
        <v>30</v>
      </c>
      <c r="O3" s="153" t="s">
        <v>31</v>
      </c>
      <c r="P3" s="153" t="s">
        <v>32</v>
      </c>
    </row>
    <row r="4" spans="2:16" x14ac:dyDescent="0.15">
      <c r="B4" s="154" t="s">
        <v>102</v>
      </c>
      <c r="C4" s="196">
        <v>372</v>
      </c>
      <c r="D4" s="213">
        <v>185285</v>
      </c>
      <c r="E4" s="242">
        <v>2560</v>
      </c>
      <c r="F4" s="196">
        <f>D4+E4</f>
        <v>187845</v>
      </c>
      <c r="G4" s="242">
        <v>302452</v>
      </c>
      <c r="H4" s="214">
        <v>22.840950000000003</v>
      </c>
      <c r="I4" s="214">
        <v>1097.2771600335527</v>
      </c>
      <c r="J4" s="197">
        <f>I4/365</f>
        <v>3.0062387946124733</v>
      </c>
      <c r="K4" s="214">
        <f>I4/1024</f>
        <v>1.0715597265952663</v>
      </c>
      <c r="L4" s="214">
        <v>1079.55</v>
      </c>
      <c r="M4" s="215">
        <v>22.5</v>
      </c>
      <c r="N4" s="214">
        <v>123.179919</v>
      </c>
      <c r="O4" s="214">
        <v>889.13361675249939</v>
      </c>
      <c r="P4" s="197">
        <f>O4/365</f>
        <v>2.4359825116506832</v>
      </c>
    </row>
    <row r="5" spans="2:16" x14ac:dyDescent="0.15">
      <c r="B5" s="3"/>
      <c r="C5" s="198"/>
      <c r="D5" s="198"/>
      <c r="E5" s="198"/>
      <c r="F5" s="198"/>
      <c r="G5" s="198"/>
      <c r="H5" s="198"/>
      <c r="I5" s="198"/>
      <c r="J5" s="199"/>
      <c r="K5" s="11"/>
      <c r="L5" s="11"/>
      <c r="M5" s="198"/>
      <c r="N5" s="198"/>
      <c r="O5" s="198"/>
      <c r="P5" s="198"/>
    </row>
    <row r="6" spans="2:16" x14ac:dyDescent="0.15">
      <c r="B6" s="3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2:16" x14ac:dyDescent="0.15">
      <c r="B7" s="155" t="s">
        <v>74</v>
      </c>
      <c r="C7" s="200"/>
      <c r="D7" s="200"/>
      <c r="E7" s="200"/>
      <c r="F7" s="200"/>
      <c r="G7" s="198"/>
      <c r="H7" s="198"/>
      <c r="I7" s="200"/>
      <c r="J7" s="198"/>
      <c r="K7" s="198"/>
      <c r="L7" s="198"/>
      <c r="M7" s="200"/>
      <c r="N7" s="200"/>
      <c r="O7" s="200"/>
      <c r="P7" s="200"/>
    </row>
    <row r="8" spans="2:16" x14ac:dyDescent="0.15">
      <c r="B8" t="s">
        <v>55</v>
      </c>
      <c r="C8" s="201" t="s">
        <v>102</v>
      </c>
      <c r="D8" s="61"/>
      <c r="E8" s="200"/>
      <c r="F8" s="202"/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2:16" x14ac:dyDescent="0.15">
      <c r="B9" s="139" t="s">
        <v>47</v>
      </c>
      <c r="C9" s="203">
        <v>17.264521999999999</v>
      </c>
      <c r="D9" s="203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2:16" x14ac:dyDescent="0.15">
      <c r="B10" s="139" t="s">
        <v>48</v>
      </c>
      <c r="C10" s="203">
        <v>22.105111999999998</v>
      </c>
      <c r="D10" s="203"/>
      <c r="E10" s="200"/>
      <c r="F10" s="200"/>
      <c r="G10" s="200"/>
      <c r="H10" s="200"/>
      <c r="I10" s="200"/>
      <c r="J10" s="200"/>
      <c r="K10" s="204"/>
      <c r="L10" s="200"/>
      <c r="M10" s="200"/>
      <c r="N10" s="200"/>
      <c r="O10" s="200"/>
      <c r="P10" s="200"/>
    </row>
    <row r="11" spans="2:16" x14ac:dyDescent="0.15">
      <c r="B11" s="139" t="s">
        <v>49</v>
      </c>
      <c r="C11" s="203">
        <v>65.958472999999998</v>
      </c>
      <c r="D11" s="203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2:16" x14ac:dyDescent="0.15">
      <c r="B12" s="139" t="s">
        <v>50</v>
      </c>
      <c r="C12" s="203">
        <v>89.748705000000001</v>
      </c>
      <c r="D12" s="203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2:16" x14ac:dyDescent="0.15">
      <c r="B13" s="139" t="s">
        <v>51</v>
      </c>
      <c r="C13" s="203">
        <v>69.865531000000004</v>
      </c>
      <c r="D13" s="203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2:16" ht="18.75" customHeight="1" x14ac:dyDescent="0.15">
      <c r="B14" s="139" t="s">
        <v>53</v>
      </c>
      <c r="C14" s="203">
        <v>72.539675000000003</v>
      </c>
      <c r="D14" s="203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2:16" ht="18.75" customHeight="1" x14ac:dyDescent="0.15">
      <c r="B15" s="139" t="s">
        <v>87</v>
      </c>
      <c r="C15" s="203">
        <v>76.3</v>
      </c>
      <c r="D15" s="203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2:16" x14ac:dyDescent="0.15">
      <c r="B16" s="139" t="s">
        <v>124</v>
      </c>
      <c r="C16" s="216">
        <v>123.179919</v>
      </c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8" s="3" customFormat="1" x14ac:dyDescent="0.15">
      <c r="A17"/>
      <c r="B17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R17"/>
    </row>
    <row r="18" spans="1:18" s="3" customFormat="1" x14ac:dyDescent="0.15">
      <c r="A18"/>
      <c r="B18" s="59" t="s">
        <v>31</v>
      </c>
      <c r="C18" s="200"/>
      <c r="D18" s="205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R18"/>
    </row>
    <row r="19" spans="1:18" s="3" customFormat="1" x14ac:dyDescent="0.15">
      <c r="A19"/>
      <c r="B19" t="s">
        <v>55</v>
      </c>
      <c r="C19" s="206" t="s">
        <v>102</v>
      </c>
      <c r="D19" s="204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R19"/>
    </row>
    <row r="20" spans="1:18" x14ac:dyDescent="0.15">
      <c r="B20" s="139" t="s">
        <v>47</v>
      </c>
      <c r="C20" s="204">
        <v>239.357451171875</v>
      </c>
      <c r="D20" s="204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</row>
    <row r="21" spans="1:18" x14ac:dyDescent="0.15">
      <c r="B21" s="139" t="s">
        <v>48</v>
      </c>
      <c r="C21" s="204">
        <v>475.84899414062494</v>
      </c>
      <c r="D21" s="204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spans="1:18" x14ac:dyDescent="0.15">
      <c r="B22" s="139" t="s">
        <v>49</v>
      </c>
      <c r="C22" s="204">
        <v>833.81921875</v>
      </c>
      <c r="D22" s="204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spans="1:18" x14ac:dyDescent="0.15">
      <c r="B23" s="139" t="s">
        <v>50</v>
      </c>
      <c r="C23" s="204">
        <v>856.63578125000004</v>
      </c>
      <c r="D23" s="204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spans="1:18" x14ac:dyDescent="0.15">
      <c r="B24" s="139" t="s">
        <v>51</v>
      </c>
      <c r="C24" s="204">
        <v>891.62641206054695</v>
      </c>
      <c r="D24" s="204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spans="1:18" x14ac:dyDescent="0.15">
      <c r="B25" s="139" t="s">
        <v>53</v>
      </c>
      <c r="C25" s="204">
        <v>786.36682507619889</v>
      </c>
      <c r="D25" s="203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1:18" x14ac:dyDescent="0.15">
      <c r="B26" s="139" t="s">
        <v>87</v>
      </c>
      <c r="C26" s="203">
        <v>763.04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8" x14ac:dyDescent="0.15">
      <c r="B27" s="139" t="s">
        <v>124</v>
      </c>
      <c r="C27" s="216">
        <v>889.13361675249939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spans="1:18" x14ac:dyDescent="0.15"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</sheetData>
  <mergeCells count="1">
    <mergeCell ref="B1:O1"/>
  </mergeCells>
  <pageMargins left="0.75" right="0.7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I241"/>
  <sheetViews>
    <sheetView topLeftCell="A100" workbookViewId="0">
      <selection activeCell="N3" sqref="N3"/>
    </sheetView>
  </sheetViews>
  <sheetFormatPr baseColWidth="10" defaultColWidth="8.83203125" defaultRowHeight="13" x14ac:dyDescent="0.15"/>
  <cols>
    <col min="1" max="1" width="8.83203125" style="105"/>
    <col min="2" max="2" width="12.6640625" style="105" customWidth="1"/>
    <col min="3" max="3" width="12.1640625" style="105" customWidth="1"/>
    <col min="4" max="4" width="11.5" style="105" customWidth="1"/>
    <col min="5" max="5" width="12.33203125" style="105" customWidth="1"/>
    <col min="6" max="6" width="11.5" style="105" customWidth="1"/>
    <col min="7" max="235" width="8.83203125" style="105"/>
    <col min="236" max="236" width="14.5" style="105" customWidth="1"/>
    <col min="237" max="237" width="16.5" style="105" customWidth="1"/>
    <col min="238" max="238" width="14.5" style="105" customWidth="1"/>
    <col min="239" max="241" width="8.83203125" style="105"/>
    <col min="242" max="242" width="10.33203125" style="105" bestFit="1" customWidth="1"/>
    <col min="243" max="243" width="10.1640625" style="105" customWidth="1"/>
    <col min="244" max="244" width="11.5" style="105" customWidth="1"/>
    <col min="245" max="245" width="11" style="105" customWidth="1"/>
    <col min="246" max="246" width="6.33203125" style="105" customWidth="1"/>
    <col min="247" max="247" width="11.33203125" style="105" customWidth="1"/>
    <col min="248" max="248" width="14.6640625" style="105" bestFit="1" customWidth="1"/>
    <col min="249" max="491" width="8.83203125" style="105"/>
    <col min="492" max="492" width="14.5" style="105" customWidth="1"/>
    <col min="493" max="493" width="16.5" style="105" customWidth="1"/>
    <col min="494" max="494" width="14.5" style="105" customWidth="1"/>
    <col min="495" max="497" width="8.83203125" style="105"/>
    <col min="498" max="498" width="10.33203125" style="105" bestFit="1" customWidth="1"/>
    <col min="499" max="499" width="10.1640625" style="105" customWidth="1"/>
    <col min="500" max="500" width="11.5" style="105" customWidth="1"/>
    <col min="501" max="501" width="11" style="105" customWidth="1"/>
    <col min="502" max="502" width="6.33203125" style="105" customWidth="1"/>
    <col min="503" max="503" width="11.33203125" style="105" customWidth="1"/>
    <col min="504" max="504" width="14.6640625" style="105" bestFit="1" customWidth="1"/>
    <col min="505" max="747" width="8.83203125" style="105"/>
    <col min="748" max="748" width="14.5" style="105" customWidth="1"/>
    <col min="749" max="749" width="16.5" style="105" customWidth="1"/>
    <col min="750" max="750" width="14.5" style="105" customWidth="1"/>
    <col min="751" max="753" width="8.83203125" style="105"/>
    <col min="754" max="754" width="10.33203125" style="105" bestFit="1" customWidth="1"/>
    <col min="755" max="755" width="10.1640625" style="105" customWidth="1"/>
    <col min="756" max="756" width="11.5" style="105" customWidth="1"/>
    <col min="757" max="757" width="11" style="105" customWidth="1"/>
    <col min="758" max="758" width="6.33203125" style="105" customWidth="1"/>
    <col min="759" max="759" width="11.33203125" style="105" customWidth="1"/>
    <col min="760" max="760" width="14.6640625" style="105" bestFit="1" customWidth="1"/>
    <col min="761" max="1003" width="8.83203125" style="105"/>
    <col min="1004" max="1004" width="14.5" style="105" customWidth="1"/>
    <col min="1005" max="1005" width="16.5" style="105" customWidth="1"/>
    <col min="1006" max="1006" width="14.5" style="105" customWidth="1"/>
    <col min="1007" max="1009" width="8.83203125" style="105"/>
    <col min="1010" max="1010" width="10.33203125" style="105" bestFit="1" customWidth="1"/>
    <col min="1011" max="1011" width="10.1640625" style="105" customWidth="1"/>
    <col min="1012" max="1012" width="11.5" style="105" customWidth="1"/>
    <col min="1013" max="1013" width="11" style="105" customWidth="1"/>
    <col min="1014" max="1014" width="6.33203125" style="105" customWidth="1"/>
    <col min="1015" max="1015" width="11.33203125" style="105" customWidth="1"/>
    <col min="1016" max="1016" width="14.6640625" style="105" bestFit="1" customWidth="1"/>
    <col min="1017" max="1259" width="8.83203125" style="105"/>
    <col min="1260" max="1260" width="14.5" style="105" customWidth="1"/>
    <col min="1261" max="1261" width="16.5" style="105" customWidth="1"/>
    <col min="1262" max="1262" width="14.5" style="105" customWidth="1"/>
    <col min="1263" max="1265" width="8.83203125" style="105"/>
    <col min="1266" max="1266" width="10.33203125" style="105" bestFit="1" customWidth="1"/>
    <col min="1267" max="1267" width="10.1640625" style="105" customWidth="1"/>
    <col min="1268" max="1268" width="11.5" style="105" customWidth="1"/>
    <col min="1269" max="1269" width="11" style="105" customWidth="1"/>
    <col min="1270" max="1270" width="6.33203125" style="105" customWidth="1"/>
    <col min="1271" max="1271" width="11.33203125" style="105" customWidth="1"/>
    <col min="1272" max="1272" width="14.6640625" style="105" bestFit="1" customWidth="1"/>
    <col min="1273" max="1515" width="8.83203125" style="105"/>
    <col min="1516" max="1516" width="14.5" style="105" customWidth="1"/>
    <col min="1517" max="1517" width="16.5" style="105" customWidth="1"/>
    <col min="1518" max="1518" width="14.5" style="105" customWidth="1"/>
    <col min="1519" max="1521" width="8.83203125" style="105"/>
    <col min="1522" max="1522" width="10.33203125" style="105" bestFit="1" customWidth="1"/>
    <col min="1523" max="1523" width="10.1640625" style="105" customWidth="1"/>
    <col min="1524" max="1524" width="11.5" style="105" customWidth="1"/>
    <col min="1525" max="1525" width="11" style="105" customWidth="1"/>
    <col min="1526" max="1526" width="6.33203125" style="105" customWidth="1"/>
    <col min="1527" max="1527" width="11.33203125" style="105" customWidth="1"/>
    <col min="1528" max="1528" width="14.6640625" style="105" bestFit="1" customWidth="1"/>
    <col min="1529" max="1771" width="8.83203125" style="105"/>
    <col min="1772" max="1772" width="14.5" style="105" customWidth="1"/>
    <col min="1773" max="1773" width="16.5" style="105" customWidth="1"/>
    <col min="1774" max="1774" width="14.5" style="105" customWidth="1"/>
    <col min="1775" max="1777" width="8.83203125" style="105"/>
    <col min="1778" max="1778" width="10.33203125" style="105" bestFit="1" customWidth="1"/>
    <col min="1779" max="1779" width="10.1640625" style="105" customWidth="1"/>
    <col min="1780" max="1780" width="11.5" style="105" customWidth="1"/>
    <col min="1781" max="1781" width="11" style="105" customWidth="1"/>
    <col min="1782" max="1782" width="6.33203125" style="105" customWidth="1"/>
    <col min="1783" max="1783" width="11.33203125" style="105" customWidth="1"/>
    <col min="1784" max="1784" width="14.6640625" style="105" bestFit="1" customWidth="1"/>
    <col min="1785" max="2027" width="8.83203125" style="105"/>
    <col min="2028" max="2028" width="14.5" style="105" customWidth="1"/>
    <col min="2029" max="2029" width="16.5" style="105" customWidth="1"/>
    <col min="2030" max="2030" width="14.5" style="105" customWidth="1"/>
    <col min="2031" max="2033" width="8.83203125" style="105"/>
    <col min="2034" max="2034" width="10.33203125" style="105" bestFit="1" customWidth="1"/>
    <col min="2035" max="2035" width="10.1640625" style="105" customWidth="1"/>
    <col min="2036" max="2036" width="11.5" style="105" customWidth="1"/>
    <col min="2037" max="2037" width="11" style="105" customWidth="1"/>
    <col min="2038" max="2038" width="6.33203125" style="105" customWidth="1"/>
    <col min="2039" max="2039" width="11.33203125" style="105" customWidth="1"/>
    <col min="2040" max="2040" width="14.6640625" style="105" bestFit="1" customWidth="1"/>
    <col min="2041" max="2283" width="8.83203125" style="105"/>
    <col min="2284" max="2284" width="14.5" style="105" customWidth="1"/>
    <col min="2285" max="2285" width="16.5" style="105" customWidth="1"/>
    <col min="2286" max="2286" width="14.5" style="105" customWidth="1"/>
    <col min="2287" max="2289" width="8.83203125" style="105"/>
    <col min="2290" max="2290" width="10.33203125" style="105" bestFit="1" customWidth="1"/>
    <col min="2291" max="2291" width="10.1640625" style="105" customWidth="1"/>
    <col min="2292" max="2292" width="11.5" style="105" customWidth="1"/>
    <col min="2293" max="2293" width="11" style="105" customWidth="1"/>
    <col min="2294" max="2294" width="6.33203125" style="105" customWidth="1"/>
    <col min="2295" max="2295" width="11.33203125" style="105" customWidth="1"/>
    <col min="2296" max="2296" width="14.6640625" style="105" bestFit="1" customWidth="1"/>
    <col min="2297" max="2539" width="8.83203125" style="105"/>
    <col min="2540" max="2540" width="14.5" style="105" customWidth="1"/>
    <col min="2541" max="2541" width="16.5" style="105" customWidth="1"/>
    <col min="2542" max="2542" width="14.5" style="105" customWidth="1"/>
    <col min="2543" max="2545" width="8.83203125" style="105"/>
    <col min="2546" max="2546" width="10.33203125" style="105" bestFit="1" customWidth="1"/>
    <col min="2547" max="2547" width="10.1640625" style="105" customWidth="1"/>
    <col min="2548" max="2548" width="11.5" style="105" customWidth="1"/>
    <col min="2549" max="2549" width="11" style="105" customWidth="1"/>
    <col min="2550" max="2550" width="6.33203125" style="105" customWidth="1"/>
    <col min="2551" max="2551" width="11.33203125" style="105" customWidth="1"/>
    <col min="2552" max="2552" width="14.6640625" style="105" bestFit="1" customWidth="1"/>
    <col min="2553" max="2795" width="8.83203125" style="105"/>
    <col min="2796" max="2796" width="14.5" style="105" customWidth="1"/>
    <col min="2797" max="2797" width="16.5" style="105" customWidth="1"/>
    <col min="2798" max="2798" width="14.5" style="105" customWidth="1"/>
    <col min="2799" max="2801" width="8.83203125" style="105"/>
    <col min="2802" max="2802" width="10.33203125" style="105" bestFit="1" customWidth="1"/>
    <col min="2803" max="2803" width="10.1640625" style="105" customWidth="1"/>
    <col min="2804" max="2804" width="11.5" style="105" customWidth="1"/>
    <col min="2805" max="2805" width="11" style="105" customWidth="1"/>
    <col min="2806" max="2806" width="6.33203125" style="105" customWidth="1"/>
    <col min="2807" max="2807" width="11.33203125" style="105" customWidth="1"/>
    <col min="2808" max="2808" width="14.6640625" style="105" bestFit="1" customWidth="1"/>
    <col min="2809" max="3051" width="8.83203125" style="105"/>
    <col min="3052" max="3052" width="14.5" style="105" customWidth="1"/>
    <col min="3053" max="3053" width="16.5" style="105" customWidth="1"/>
    <col min="3054" max="3054" width="14.5" style="105" customWidth="1"/>
    <col min="3055" max="3057" width="8.83203125" style="105"/>
    <col min="3058" max="3058" width="10.33203125" style="105" bestFit="1" customWidth="1"/>
    <col min="3059" max="3059" width="10.1640625" style="105" customWidth="1"/>
    <col min="3060" max="3060" width="11.5" style="105" customWidth="1"/>
    <col min="3061" max="3061" width="11" style="105" customWidth="1"/>
    <col min="3062" max="3062" width="6.33203125" style="105" customWidth="1"/>
    <col min="3063" max="3063" width="11.33203125" style="105" customWidth="1"/>
    <col min="3064" max="3064" width="14.6640625" style="105" bestFit="1" customWidth="1"/>
    <col min="3065" max="3307" width="8.83203125" style="105"/>
    <col min="3308" max="3308" width="14.5" style="105" customWidth="1"/>
    <col min="3309" max="3309" width="16.5" style="105" customWidth="1"/>
    <col min="3310" max="3310" width="14.5" style="105" customWidth="1"/>
    <col min="3311" max="3313" width="8.83203125" style="105"/>
    <col min="3314" max="3314" width="10.33203125" style="105" bestFit="1" customWidth="1"/>
    <col min="3315" max="3315" width="10.1640625" style="105" customWidth="1"/>
    <col min="3316" max="3316" width="11.5" style="105" customWidth="1"/>
    <col min="3317" max="3317" width="11" style="105" customWidth="1"/>
    <col min="3318" max="3318" width="6.33203125" style="105" customWidth="1"/>
    <col min="3319" max="3319" width="11.33203125" style="105" customWidth="1"/>
    <col min="3320" max="3320" width="14.6640625" style="105" bestFit="1" customWidth="1"/>
    <col min="3321" max="3563" width="8.83203125" style="105"/>
    <col min="3564" max="3564" width="14.5" style="105" customWidth="1"/>
    <col min="3565" max="3565" width="16.5" style="105" customWidth="1"/>
    <col min="3566" max="3566" width="14.5" style="105" customWidth="1"/>
    <col min="3567" max="3569" width="8.83203125" style="105"/>
    <col min="3570" max="3570" width="10.33203125" style="105" bestFit="1" customWidth="1"/>
    <col min="3571" max="3571" width="10.1640625" style="105" customWidth="1"/>
    <col min="3572" max="3572" width="11.5" style="105" customWidth="1"/>
    <col min="3573" max="3573" width="11" style="105" customWidth="1"/>
    <col min="3574" max="3574" width="6.33203125" style="105" customWidth="1"/>
    <col min="3575" max="3575" width="11.33203125" style="105" customWidth="1"/>
    <col min="3576" max="3576" width="14.6640625" style="105" bestFit="1" customWidth="1"/>
    <col min="3577" max="3819" width="8.83203125" style="105"/>
    <col min="3820" max="3820" width="14.5" style="105" customWidth="1"/>
    <col min="3821" max="3821" width="16.5" style="105" customWidth="1"/>
    <col min="3822" max="3822" width="14.5" style="105" customWidth="1"/>
    <col min="3823" max="3825" width="8.83203125" style="105"/>
    <col min="3826" max="3826" width="10.33203125" style="105" bestFit="1" customWidth="1"/>
    <col min="3827" max="3827" width="10.1640625" style="105" customWidth="1"/>
    <col min="3828" max="3828" width="11.5" style="105" customWidth="1"/>
    <col min="3829" max="3829" width="11" style="105" customWidth="1"/>
    <col min="3830" max="3830" width="6.33203125" style="105" customWidth="1"/>
    <col min="3831" max="3831" width="11.33203125" style="105" customWidth="1"/>
    <col min="3832" max="3832" width="14.6640625" style="105" bestFit="1" customWidth="1"/>
    <col min="3833" max="4075" width="8.83203125" style="105"/>
    <col min="4076" max="4076" width="14.5" style="105" customWidth="1"/>
    <col min="4077" max="4077" width="16.5" style="105" customWidth="1"/>
    <col min="4078" max="4078" width="14.5" style="105" customWidth="1"/>
    <col min="4079" max="4081" width="8.83203125" style="105"/>
    <col min="4082" max="4082" width="10.33203125" style="105" bestFit="1" customWidth="1"/>
    <col min="4083" max="4083" width="10.1640625" style="105" customWidth="1"/>
    <col min="4084" max="4084" width="11.5" style="105" customWidth="1"/>
    <col min="4085" max="4085" width="11" style="105" customWidth="1"/>
    <col min="4086" max="4086" width="6.33203125" style="105" customWidth="1"/>
    <col min="4087" max="4087" width="11.33203125" style="105" customWidth="1"/>
    <col min="4088" max="4088" width="14.6640625" style="105" bestFit="1" customWidth="1"/>
    <col min="4089" max="4331" width="8.83203125" style="105"/>
    <col min="4332" max="4332" width="14.5" style="105" customWidth="1"/>
    <col min="4333" max="4333" width="16.5" style="105" customWidth="1"/>
    <col min="4334" max="4334" width="14.5" style="105" customWidth="1"/>
    <col min="4335" max="4337" width="8.83203125" style="105"/>
    <col min="4338" max="4338" width="10.33203125" style="105" bestFit="1" customWidth="1"/>
    <col min="4339" max="4339" width="10.1640625" style="105" customWidth="1"/>
    <col min="4340" max="4340" width="11.5" style="105" customWidth="1"/>
    <col min="4341" max="4341" width="11" style="105" customWidth="1"/>
    <col min="4342" max="4342" width="6.33203125" style="105" customWidth="1"/>
    <col min="4343" max="4343" width="11.33203125" style="105" customWidth="1"/>
    <col min="4344" max="4344" width="14.6640625" style="105" bestFit="1" customWidth="1"/>
    <col min="4345" max="4587" width="8.83203125" style="105"/>
    <col min="4588" max="4588" width="14.5" style="105" customWidth="1"/>
    <col min="4589" max="4589" width="16.5" style="105" customWidth="1"/>
    <col min="4590" max="4590" width="14.5" style="105" customWidth="1"/>
    <col min="4591" max="4593" width="8.83203125" style="105"/>
    <col min="4594" max="4594" width="10.33203125" style="105" bestFit="1" customWidth="1"/>
    <col min="4595" max="4595" width="10.1640625" style="105" customWidth="1"/>
    <col min="4596" max="4596" width="11.5" style="105" customWidth="1"/>
    <col min="4597" max="4597" width="11" style="105" customWidth="1"/>
    <col min="4598" max="4598" width="6.33203125" style="105" customWidth="1"/>
    <col min="4599" max="4599" width="11.33203125" style="105" customWidth="1"/>
    <col min="4600" max="4600" width="14.6640625" style="105" bestFit="1" customWidth="1"/>
    <col min="4601" max="4843" width="8.83203125" style="105"/>
    <col min="4844" max="4844" width="14.5" style="105" customWidth="1"/>
    <col min="4845" max="4845" width="16.5" style="105" customWidth="1"/>
    <col min="4846" max="4846" width="14.5" style="105" customWidth="1"/>
    <col min="4847" max="4849" width="8.83203125" style="105"/>
    <col min="4850" max="4850" width="10.33203125" style="105" bestFit="1" customWidth="1"/>
    <col min="4851" max="4851" width="10.1640625" style="105" customWidth="1"/>
    <col min="4852" max="4852" width="11.5" style="105" customWidth="1"/>
    <col min="4853" max="4853" width="11" style="105" customWidth="1"/>
    <col min="4854" max="4854" width="6.33203125" style="105" customWidth="1"/>
    <col min="4855" max="4855" width="11.33203125" style="105" customWidth="1"/>
    <col min="4856" max="4856" width="14.6640625" style="105" bestFit="1" customWidth="1"/>
    <col min="4857" max="5099" width="8.83203125" style="105"/>
    <col min="5100" max="5100" width="14.5" style="105" customWidth="1"/>
    <col min="5101" max="5101" width="16.5" style="105" customWidth="1"/>
    <col min="5102" max="5102" width="14.5" style="105" customWidth="1"/>
    <col min="5103" max="5105" width="8.83203125" style="105"/>
    <col min="5106" max="5106" width="10.33203125" style="105" bestFit="1" customWidth="1"/>
    <col min="5107" max="5107" width="10.1640625" style="105" customWidth="1"/>
    <col min="5108" max="5108" width="11.5" style="105" customWidth="1"/>
    <col min="5109" max="5109" width="11" style="105" customWidth="1"/>
    <col min="5110" max="5110" width="6.33203125" style="105" customWidth="1"/>
    <col min="5111" max="5111" width="11.33203125" style="105" customWidth="1"/>
    <col min="5112" max="5112" width="14.6640625" style="105" bestFit="1" customWidth="1"/>
    <col min="5113" max="5355" width="8.83203125" style="105"/>
    <col min="5356" max="5356" width="14.5" style="105" customWidth="1"/>
    <col min="5357" max="5357" width="16.5" style="105" customWidth="1"/>
    <col min="5358" max="5358" width="14.5" style="105" customWidth="1"/>
    <col min="5359" max="5361" width="8.83203125" style="105"/>
    <col min="5362" max="5362" width="10.33203125" style="105" bestFit="1" customWidth="1"/>
    <col min="5363" max="5363" width="10.1640625" style="105" customWidth="1"/>
    <col min="5364" max="5364" width="11.5" style="105" customWidth="1"/>
    <col min="5365" max="5365" width="11" style="105" customWidth="1"/>
    <col min="5366" max="5366" width="6.33203125" style="105" customWidth="1"/>
    <col min="5367" max="5367" width="11.33203125" style="105" customWidth="1"/>
    <col min="5368" max="5368" width="14.6640625" style="105" bestFit="1" customWidth="1"/>
    <col min="5369" max="5611" width="8.83203125" style="105"/>
    <col min="5612" max="5612" width="14.5" style="105" customWidth="1"/>
    <col min="5613" max="5613" width="16.5" style="105" customWidth="1"/>
    <col min="5614" max="5614" width="14.5" style="105" customWidth="1"/>
    <col min="5615" max="5617" width="8.83203125" style="105"/>
    <col min="5618" max="5618" width="10.33203125" style="105" bestFit="1" customWidth="1"/>
    <col min="5619" max="5619" width="10.1640625" style="105" customWidth="1"/>
    <col min="5620" max="5620" width="11.5" style="105" customWidth="1"/>
    <col min="5621" max="5621" width="11" style="105" customWidth="1"/>
    <col min="5622" max="5622" width="6.33203125" style="105" customWidth="1"/>
    <col min="5623" max="5623" width="11.33203125" style="105" customWidth="1"/>
    <col min="5624" max="5624" width="14.6640625" style="105" bestFit="1" customWidth="1"/>
    <col min="5625" max="5867" width="8.83203125" style="105"/>
    <col min="5868" max="5868" width="14.5" style="105" customWidth="1"/>
    <col min="5869" max="5869" width="16.5" style="105" customWidth="1"/>
    <col min="5870" max="5870" width="14.5" style="105" customWidth="1"/>
    <col min="5871" max="5873" width="8.83203125" style="105"/>
    <col min="5874" max="5874" width="10.33203125" style="105" bestFit="1" customWidth="1"/>
    <col min="5875" max="5875" width="10.1640625" style="105" customWidth="1"/>
    <col min="5876" max="5876" width="11.5" style="105" customWidth="1"/>
    <col min="5877" max="5877" width="11" style="105" customWidth="1"/>
    <col min="5878" max="5878" width="6.33203125" style="105" customWidth="1"/>
    <col min="5879" max="5879" width="11.33203125" style="105" customWidth="1"/>
    <col min="5880" max="5880" width="14.6640625" style="105" bestFit="1" customWidth="1"/>
    <col min="5881" max="6123" width="8.83203125" style="105"/>
    <col min="6124" max="6124" width="14.5" style="105" customWidth="1"/>
    <col min="6125" max="6125" width="16.5" style="105" customWidth="1"/>
    <col min="6126" max="6126" width="14.5" style="105" customWidth="1"/>
    <col min="6127" max="6129" width="8.83203125" style="105"/>
    <col min="6130" max="6130" width="10.33203125" style="105" bestFit="1" customWidth="1"/>
    <col min="6131" max="6131" width="10.1640625" style="105" customWidth="1"/>
    <col min="6132" max="6132" width="11.5" style="105" customWidth="1"/>
    <col min="6133" max="6133" width="11" style="105" customWidth="1"/>
    <col min="6134" max="6134" width="6.33203125" style="105" customWidth="1"/>
    <col min="6135" max="6135" width="11.33203125" style="105" customWidth="1"/>
    <col min="6136" max="6136" width="14.6640625" style="105" bestFit="1" customWidth="1"/>
    <col min="6137" max="6379" width="8.83203125" style="105"/>
    <col min="6380" max="6380" width="14.5" style="105" customWidth="1"/>
    <col min="6381" max="6381" width="16.5" style="105" customWidth="1"/>
    <col min="6382" max="6382" width="14.5" style="105" customWidth="1"/>
    <col min="6383" max="6385" width="8.83203125" style="105"/>
    <col min="6386" max="6386" width="10.33203125" style="105" bestFit="1" customWidth="1"/>
    <col min="6387" max="6387" width="10.1640625" style="105" customWidth="1"/>
    <col min="6388" max="6388" width="11.5" style="105" customWidth="1"/>
    <col min="6389" max="6389" width="11" style="105" customWidth="1"/>
    <col min="6390" max="6390" width="6.33203125" style="105" customWidth="1"/>
    <col min="6391" max="6391" width="11.33203125" style="105" customWidth="1"/>
    <col min="6392" max="6392" width="14.6640625" style="105" bestFit="1" customWidth="1"/>
    <col min="6393" max="6635" width="8.83203125" style="105"/>
    <col min="6636" max="6636" width="14.5" style="105" customWidth="1"/>
    <col min="6637" max="6637" width="16.5" style="105" customWidth="1"/>
    <col min="6638" max="6638" width="14.5" style="105" customWidth="1"/>
    <col min="6639" max="6641" width="8.83203125" style="105"/>
    <col min="6642" max="6642" width="10.33203125" style="105" bestFit="1" customWidth="1"/>
    <col min="6643" max="6643" width="10.1640625" style="105" customWidth="1"/>
    <col min="6644" max="6644" width="11.5" style="105" customWidth="1"/>
    <col min="6645" max="6645" width="11" style="105" customWidth="1"/>
    <col min="6646" max="6646" width="6.33203125" style="105" customWidth="1"/>
    <col min="6647" max="6647" width="11.33203125" style="105" customWidth="1"/>
    <col min="6648" max="6648" width="14.6640625" style="105" bestFit="1" customWidth="1"/>
    <col min="6649" max="6891" width="8.83203125" style="105"/>
    <col min="6892" max="6892" width="14.5" style="105" customWidth="1"/>
    <col min="6893" max="6893" width="16.5" style="105" customWidth="1"/>
    <col min="6894" max="6894" width="14.5" style="105" customWidth="1"/>
    <col min="6895" max="6897" width="8.83203125" style="105"/>
    <col min="6898" max="6898" width="10.33203125" style="105" bestFit="1" customWidth="1"/>
    <col min="6899" max="6899" width="10.1640625" style="105" customWidth="1"/>
    <col min="6900" max="6900" width="11.5" style="105" customWidth="1"/>
    <col min="6901" max="6901" width="11" style="105" customWidth="1"/>
    <col min="6902" max="6902" width="6.33203125" style="105" customWidth="1"/>
    <col min="6903" max="6903" width="11.33203125" style="105" customWidth="1"/>
    <col min="6904" max="6904" width="14.6640625" style="105" bestFit="1" customWidth="1"/>
    <col min="6905" max="7147" width="8.83203125" style="105"/>
    <col min="7148" max="7148" width="14.5" style="105" customWidth="1"/>
    <col min="7149" max="7149" width="16.5" style="105" customWidth="1"/>
    <col min="7150" max="7150" width="14.5" style="105" customWidth="1"/>
    <col min="7151" max="7153" width="8.83203125" style="105"/>
    <col min="7154" max="7154" width="10.33203125" style="105" bestFit="1" customWidth="1"/>
    <col min="7155" max="7155" width="10.1640625" style="105" customWidth="1"/>
    <col min="7156" max="7156" width="11.5" style="105" customWidth="1"/>
    <col min="7157" max="7157" width="11" style="105" customWidth="1"/>
    <col min="7158" max="7158" width="6.33203125" style="105" customWidth="1"/>
    <col min="7159" max="7159" width="11.33203125" style="105" customWidth="1"/>
    <col min="7160" max="7160" width="14.6640625" style="105" bestFit="1" customWidth="1"/>
    <col min="7161" max="7403" width="8.83203125" style="105"/>
    <col min="7404" max="7404" width="14.5" style="105" customWidth="1"/>
    <col min="7405" max="7405" width="16.5" style="105" customWidth="1"/>
    <col min="7406" max="7406" width="14.5" style="105" customWidth="1"/>
    <col min="7407" max="7409" width="8.83203125" style="105"/>
    <col min="7410" max="7410" width="10.33203125" style="105" bestFit="1" customWidth="1"/>
    <col min="7411" max="7411" width="10.1640625" style="105" customWidth="1"/>
    <col min="7412" max="7412" width="11.5" style="105" customWidth="1"/>
    <col min="7413" max="7413" width="11" style="105" customWidth="1"/>
    <col min="7414" max="7414" width="6.33203125" style="105" customWidth="1"/>
    <col min="7415" max="7415" width="11.33203125" style="105" customWidth="1"/>
    <col min="7416" max="7416" width="14.6640625" style="105" bestFit="1" customWidth="1"/>
    <col min="7417" max="7659" width="8.83203125" style="105"/>
    <col min="7660" max="7660" width="14.5" style="105" customWidth="1"/>
    <col min="7661" max="7661" width="16.5" style="105" customWidth="1"/>
    <col min="7662" max="7662" width="14.5" style="105" customWidth="1"/>
    <col min="7663" max="7665" width="8.83203125" style="105"/>
    <col min="7666" max="7666" width="10.33203125" style="105" bestFit="1" customWidth="1"/>
    <col min="7667" max="7667" width="10.1640625" style="105" customWidth="1"/>
    <col min="7668" max="7668" width="11.5" style="105" customWidth="1"/>
    <col min="7669" max="7669" width="11" style="105" customWidth="1"/>
    <col min="7670" max="7670" width="6.33203125" style="105" customWidth="1"/>
    <col min="7671" max="7671" width="11.33203125" style="105" customWidth="1"/>
    <col min="7672" max="7672" width="14.6640625" style="105" bestFit="1" customWidth="1"/>
    <col min="7673" max="7915" width="8.83203125" style="105"/>
    <col min="7916" max="7916" width="14.5" style="105" customWidth="1"/>
    <col min="7917" max="7917" width="16.5" style="105" customWidth="1"/>
    <col min="7918" max="7918" width="14.5" style="105" customWidth="1"/>
    <col min="7919" max="7921" width="8.83203125" style="105"/>
    <col min="7922" max="7922" width="10.33203125" style="105" bestFit="1" customWidth="1"/>
    <col min="7923" max="7923" width="10.1640625" style="105" customWidth="1"/>
    <col min="7924" max="7924" width="11.5" style="105" customWidth="1"/>
    <col min="7925" max="7925" width="11" style="105" customWidth="1"/>
    <col min="7926" max="7926" width="6.33203125" style="105" customWidth="1"/>
    <col min="7927" max="7927" width="11.33203125" style="105" customWidth="1"/>
    <col min="7928" max="7928" width="14.6640625" style="105" bestFit="1" customWidth="1"/>
    <col min="7929" max="8171" width="8.83203125" style="105"/>
    <col min="8172" max="8172" width="14.5" style="105" customWidth="1"/>
    <col min="8173" max="8173" width="16.5" style="105" customWidth="1"/>
    <col min="8174" max="8174" width="14.5" style="105" customWidth="1"/>
    <col min="8175" max="8177" width="8.83203125" style="105"/>
    <col min="8178" max="8178" width="10.33203125" style="105" bestFit="1" customWidth="1"/>
    <col min="8179" max="8179" width="10.1640625" style="105" customWidth="1"/>
    <col min="8180" max="8180" width="11.5" style="105" customWidth="1"/>
    <col min="8181" max="8181" width="11" style="105" customWidth="1"/>
    <col min="8182" max="8182" width="6.33203125" style="105" customWidth="1"/>
    <col min="8183" max="8183" width="11.33203125" style="105" customWidth="1"/>
    <col min="8184" max="8184" width="14.6640625" style="105" bestFit="1" customWidth="1"/>
    <col min="8185" max="8427" width="8.83203125" style="105"/>
    <col min="8428" max="8428" width="14.5" style="105" customWidth="1"/>
    <col min="8429" max="8429" width="16.5" style="105" customWidth="1"/>
    <col min="8430" max="8430" width="14.5" style="105" customWidth="1"/>
    <col min="8431" max="8433" width="8.83203125" style="105"/>
    <col min="8434" max="8434" width="10.33203125" style="105" bestFit="1" customWidth="1"/>
    <col min="8435" max="8435" width="10.1640625" style="105" customWidth="1"/>
    <col min="8436" max="8436" width="11.5" style="105" customWidth="1"/>
    <col min="8437" max="8437" width="11" style="105" customWidth="1"/>
    <col min="8438" max="8438" width="6.33203125" style="105" customWidth="1"/>
    <col min="8439" max="8439" width="11.33203125" style="105" customWidth="1"/>
    <col min="8440" max="8440" width="14.6640625" style="105" bestFit="1" customWidth="1"/>
    <col min="8441" max="8683" width="8.83203125" style="105"/>
    <col min="8684" max="8684" width="14.5" style="105" customWidth="1"/>
    <col min="8685" max="8685" width="16.5" style="105" customWidth="1"/>
    <col min="8686" max="8686" width="14.5" style="105" customWidth="1"/>
    <col min="8687" max="8689" width="8.83203125" style="105"/>
    <col min="8690" max="8690" width="10.33203125" style="105" bestFit="1" customWidth="1"/>
    <col min="8691" max="8691" width="10.1640625" style="105" customWidth="1"/>
    <col min="8692" max="8692" width="11.5" style="105" customWidth="1"/>
    <col min="8693" max="8693" width="11" style="105" customWidth="1"/>
    <col min="8694" max="8694" width="6.33203125" style="105" customWidth="1"/>
    <col min="8695" max="8695" width="11.33203125" style="105" customWidth="1"/>
    <col min="8696" max="8696" width="14.6640625" style="105" bestFit="1" customWidth="1"/>
    <col min="8697" max="8939" width="8.83203125" style="105"/>
    <col min="8940" max="8940" width="14.5" style="105" customWidth="1"/>
    <col min="8941" max="8941" width="16.5" style="105" customWidth="1"/>
    <col min="8942" max="8942" width="14.5" style="105" customWidth="1"/>
    <col min="8943" max="8945" width="8.83203125" style="105"/>
    <col min="8946" max="8946" width="10.33203125" style="105" bestFit="1" customWidth="1"/>
    <col min="8947" max="8947" width="10.1640625" style="105" customWidth="1"/>
    <col min="8948" max="8948" width="11.5" style="105" customWidth="1"/>
    <col min="8949" max="8949" width="11" style="105" customWidth="1"/>
    <col min="8950" max="8950" width="6.33203125" style="105" customWidth="1"/>
    <col min="8951" max="8951" width="11.33203125" style="105" customWidth="1"/>
    <col min="8952" max="8952" width="14.6640625" style="105" bestFit="1" customWidth="1"/>
    <col min="8953" max="9195" width="8.83203125" style="105"/>
    <col min="9196" max="9196" width="14.5" style="105" customWidth="1"/>
    <col min="9197" max="9197" width="16.5" style="105" customWidth="1"/>
    <col min="9198" max="9198" width="14.5" style="105" customWidth="1"/>
    <col min="9199" max="9201" width="8.83203125" style="105"/>
    <col min="9202" max="9202" width="10.33203125" style="105" bestFit="1" customWidth="1"/>
    <col min="9203" max="9203" width="10.1640625" style="105" customWidth="1"/>
    <col min="9204" max="9204" width="11.5" style="105" customWidth="1"/>
    <col min="9205" max="9205" width="11" style="105" customWidth="1"/>
    <col min="9206" max="9206" width="6.33203125" style="105" customWidth="1"/>
    <col min="9207" max="9207" width="11.33203125" style="105" customWidth="1"/>
    <col min="9208" max="9208" width="14.6640625" style="105" bestFit="1" customWidth="1"/>
    <col min="9209" max="9451" width="8.83203125" style="105"/>
    <col min="9452" max="9452" width="14.5" style="105" customWidth="1"/>
    <col min="9453" max="9453" width="16.5" style="105" customWidth="1"/>
    <col min="9454" max="9454" width="14.5" style="105" customWidth="1"/>
    <col min="9455" max="9457" width="8.83203125" style="105"/>
    <col min="9458" max="9458" width="10.33203125" style="105" bestFit="1" customWidth="1"/>
    <col min="9459" max="9459" width="10.1640625" style="105" customWidth="1"/>
    <col min="9460" max="9460" width="11.5" style="105" customWidth="1"/>
    <col min="9461" max="9461" width="11" style="105" customWidth="1"/>
    <col min="9462" max="9462" width="6.33203125" style="105" customWidth="1"/>
    <col min="9463" max="9463" width="11.33203125" style="105" customWidth="1"/>
    <col min="9464" max="9464" width="14.6640625" style="105" bestFit="1" customWidth="1"/>
    <col min="9465" max="9707" width="8.83203125" style="105"/>
    <col min="9708" max="9708" width="14.5" style="105" customWidth="1"/>
    <col min="9709" max="9709" width="16.5" style="105" customWidth="1"/>
    <col min="9710" max="9710" width="14.5" style="105" customWidth="1"/>
    <col min="9711" max="9713" width="8.83203125" style="105"/>
    <col min="9714" max="9714" width="10.33203125" style="105" bestFit="1" customWidth="1"/>
    <col min="9715" max="9715" width="10.1640625" style="105" customWidth="1"/>
    <col min="9716" max="9716" width="11.5" style="105" customWidth="1"/>
    <col min="9717" max="9717" width="11" style="105" customWidth="1"/>
    <col min="9718" max="9718" width="6.33203125" style="105" customWidth="1"/>
    <col min="9719" max="9719" width="11.33203125" style="105" customWidth="1"/>
    <col min="9720" max="9720" width="14.6640625" style="105" bestFit="1" customWidth="1"/>
    <col min="9721" max="9963" width="8.83203125" style="105"/>
    <col min="9964" max="9964" width="14.5" style="105" customWidth="1"/>
    <col min="9965" max="9965" width="16.5" style="105" customWidth="1"/>
    <col min="9966" max="9966" width="14.5" style="105" customWidth="1"/>
    <col min="9967" max="9969" width="8.83203125" style="105"/>
    <col min="9970" max="9970" width="10.33203125" style="105" bestFit="1" customWidth="1"/>
    <col min="9971" max="9971" width="10.1640625" style="105" customWidth="1"/>
    <col min="9972" max="9972" width="11.5" style="105" customWidth="1"/>
    <col min="9973" max="9973" width="11" style="105" customWidth="1"/>
    <col min="9974" max="9974" width="6.33203125" style="105" customWidth="1"/>
    <col min="9975" max="9975" width="11.33203125" style="105" customWidth="1"/>
    <col min="9976" max="9976" width="14.6640625" style="105" bestFit="1" customWidth="1"/>
    <col min="9977" max="10219" width="8.83203125" style="105"/>
    <col min="10220" max="10220" width="14.5" style="105" customWidth="1"/>
    <col min="10221" max="10221" width="16.5" style="105" customWidth="1"/>
    <col min="10222" max="10222" width="14.5" style="105" customWidth="1"/>
    <col min="10223" max="10225" width="8.83203125" style="105"/>
    <col min="10226" max="10226" width="10.33203125" style="105" bestFit="1" customWidth="1"/>
    <col min="10227" max="10227" width="10.1640625" style="105" customWidth="1"/>
    <col min="10228" max="10228" width="11.5" style="105" customWidth="1"/>
    <col min="10229" max="10229" width="11" style="105" customWidth="1"/>
    <col min="10230" max="10230" width="6.33203125" style="105" customWidth="1"/>
    <col min="10231" max="10231" width="11.33203125" style="105" customWidth="1"/>
    <col min="10232" max="10232" width="14.6640625" style="105" bestFit="1" customWidth="1"/>
    <col min="10233" max="10475" width="8.83203125" style="105"/>
    <col min="10476" max="10476" width="14.5" style="105" customWidth="1"/>
    <col min="10477" max="10477" width="16.5" style="105" customWidth="1"/>
    <col min="10478" max="10478" width="14.5" style="105" customWidth="1"/>
    <col min="10479" max="10481" width="8.83203125" style="105"/>
    <col min="10482" max="10482" width="10.33203125" style="105" bestFit="1" customWidth="1"/>
    <col min="10483" max="10483" width="10.1640625" style="105" customWidth="1"/>
    <col min="10484" max="10484" width="11.5" style="105" customWidth="1"/>
    <col min="10485" max="10485" width="11" style="105" customWidth="1"/>
    <col min="10486" max="10486" width="6.33203125" style="105" customWidth="1"/>
    <col min="10487" max="10487" width="11.33203125" style="105" customWidth="1"/>
    <col min="10488" max="10488" width="14.6640625" style="105" bestFit="1" customWidth="1"/>
    <col min="10489" max="10731" width="8.83203125" style="105"/>
    <col min="10732" max="10732" width="14.5" style="105" customWidth="1"/>
    <col min="10733" max="10733" width="16.5" style="105" customWidth="1"/>
    <col min="10734" max="10734" width="14.5" style="105" customWidth="1"/>
    <col min="10735" max="10737" width="8.83203125" style="105"/>
    <col min="10738" max="10738" width="10.33203125" style="105" bestFit="1" customWidth="1"/>
    <col min="10739" max="10739" width="10.1640625" style="105" customWidth="1"/>
    <col min="10740" max="10740" width="11.5" style="105" customWidth="1"/>
    <col min="10741" max="10741" width="11" style="105" customWidth="1"/>
    <col min="10742" max="10742" width="6.33203125" style="105" customWidth="1"/>
    <col min="10743" max="10743" width="11.33203125" style="105" customWidth="1"/>
    <col min="10744" max="10744" width="14.6640625" style="105" bestFit="1" customWidth="1"/>
    <col min="10745" max="10987" width="8.83203125" style="105"/>
    <col min="10988" max="10988" width="14.5" style="105" customWidth="1"/>
    <col min="10989" max="10989" width="16.5" style="105" customWidth="1"/>
    <col min="10990" max="10990" width="14.5" style="105" customWidth="1"/>
    <col min="10991" max="10993" width="8.83203125" style="105"/>
    <col min="10994" max="10994" width="10.33203125" style="105" bestFit="1" customWidth="1"/>
    <col min="10995" max="10995" width="10.1640625" style="105" customWidth="1"/>
    <col min="10996" max="10996" width="11.5" style="105" customWidth="1"/>
    <col min="10997" max="10997" width="11" style="105" customWidth="1"/>
    <col min="10998" max="10998" width="6.33203125" style="105" customWidth="1"/>
    <col min="10999" max="10999" width="11.33203125" style="105" customWidth="1"/>
    <col min="11000" max="11000" width="14.6640625" style="105" bestFit="1" customWidth="1"/>
    <col min="11001" max="11243" width="8.83203125" style="105"/>
    <col min="11244" max="11244" width="14.5" style="105" customWidth="1"/>
    <col min="11245" max="11245" width="16.5" style="105" customWidth="1"/>
    <col min="11246" max="11246" width="14.5" style="105" customWidth="1"/>
    <col min="11247" max="11249" width="8.83203125" style="105"/>
    <col min="11250" max="11250" width="10.33203125" style="105" bestFit="1" customWidth="1"/>
    <col min="11251" max="11251" width="10.1640625" style="105" customWidth="1"/>
    <col min="11252" max="11252" width="11.5" style="105" customWidth="1"/>
    <col min="11253" max="11253" width="11" style="105" customWidth="1"/>
    <col min="11254" max="11254" width="6.33203125" style="105" customWidth="1"/>
    <col min="11255" max="11255" width="11.33203125" style="105" customWidth="1"/>
    <col min="11256" max="11256" width="14.6640625" style="105" bestFit="1" customWidth="1"/>
    <col min="11257" max="11499" width="8.83203125" style="105"/>
    <col min="11500" max="11500" width="14.5" style="105" customWidth="1"/>
    <col min="11501" max="11501" width="16.5" style="105" customWidth="1"/>
    <col min="11502" max="11502" width="14.5" style="105" customWidth="1"/>
    <col min="11503" max="11505" width="8.83203125" style="105"/>
    <col min="11506" max="11506" width="10.33203125" style="105" bestFit="1" customWidth="1"/>
    <col min="11507" max="11507" width="10.1640625" style="105" customWidth="1"/>
    <col min="11508" max="11508" width="11.5" style="105" customWidth="1"/>
    <col min="11509" max="11509" width="11" style="105" customWidth="1"/>
    <col min="11510" max="11510" width="6.33203125" style="105" customWidth="1"/>
    <col min="11511" max="11511" width="11.33203125" style="105" customWidth="1"/>
    <col min="11512" max="11512" width="14.6640625" style="105" bestFit="1" customWidth="1"/>
    <col min="11513" max="11755" width="8.83203125" style="105"/>
    <col min="11756" max="11756" width="14.5" style="105" customWidth="1"/>
    <col min="11757" max="11757" width="16.5" style="105" customWidth="1"/>
    <col min="11758" max="11758" width="14.5" style="105" customWidth="1"/>
    <col min="11759" max="11761" width="8.83203125" style="105"/>
    <col min="11762" max="11762" width="10.33203125" style="105" bestFit="1" customWidth="1"/>
    <col min="11763" max="11763" width="10.1640625" style="105" customWidth="1"/>
    <col min="11764" max="11764" width="11.5" style="105" customWidth="1"/>
    <col min="11765" max="11765" width="11" style="105" customWidth="1"/>
    <col min="11766" max="11766" width="6.33203125" style="105" customWidth="1"/>
    <col min="11767" max="11767" width="11.33203125" style="105" customWidth="1"/>
    <col min="11768" max="11768" width="14.6640625" style="105" bestFit="1" customWidth="1"/>
    <col min="11769" max="12011" width="8.83203125" style="105"/>
    <col min="12012" max="12012" width="14.5" style="105" customWidth="1"/>
    <col min="12013" max="12013" width="16.5" style="105" customWidth="1"/>
    <col min="12014" max="12014" width="14.5" style="105" customWidth="1"/>
    <col min="12015" max="12017" width="8.83203125" style="105"/>
    <col min="12018" max="12018" width="10.33203125" style="105" bestFit="1" customWidth="1"/>
    <col min="12019" max="12019" width="10.1640625" style="105" customWidth="1"/>
    <col min="12020" max="12020" width="11.5" style="105" customWidth="1"/>
    <col min="12021" max="12021" width="11" style="105" customWidth="1"/>
    <col min="12022" max="12022" width="6.33203125" style="105" customWidth="1"/>
    <col min="12023" max="12023" width="11.33203125" style="105" customWidth="1"/>
    <col min="12024" max="12024" width="14.6640625" style="105" bestFit="1" customWidth="1"/>
    <col min="12025" max="12267" width="8.83203125" style="105"/>
    <col min="12268" max="12268" width="14.5" style="105" customWidth="1"/>
    <col min="12269" max="12269" width="16.5" style="105" customWidth="1"/>
    <col min="12270" max="12270" width="14.5" style="105" customWidth="1"/>
    <col min="12271" max="12273" width="8.83203125" style="105"/>
    <col min="12274" max="12274" width="10.33203125" style="105" bestFit="1" customWidth="1"/>
    <col min="12275" max="12275" width="10.1640625" style="105" customWidth="1"/>
    <col min="12276" max="12276" width="11.5" style="105" customWidth="1"/>
    <col min="12277" max="12277" width="11" style="105" customWidth="1"/>
    <col min="12278" max="12278" width="6.33203125" style="105" customWidth="1"/>
    <col min="12279" max="12279" width="11.33203125" style="105" customWidth="1"/>
    <col min="12280" max="12280" width="14.6640625" style="105" bestFit="1" customWidth="1"/>
    <col min="12281" max="12523" width="8.83203125" style="105"/>
    <col min="12524" max="12524" width="14.5" style="105" customWidth="1"/>
    <col min="12525" max="12525" width="16.5" style="105" customWidth="1"/>
    <col min="12526" max="12526" width="14.5" style="105" customWidth="1"/>
    <col min="12527" max="12529" width="8.83203125" style="105"/>
    <col min="12530" max="12530" width="10.33203125" style="105" bestFit="1" customWidth="1"/>
    <col min="12531" max="12531" width="10.1640625" style="105" customWidth="1"/>
    <col min="12532" max="12532" width="11.5" style="105" customWidth="1"/>
    <col min="12533" max="12533" width="11" style="105" customWidth="1"/>
    <col min="12534" max="12534" width="6.33203125" style="105" customWidth="1"/>
    <col min="12535" max="12535" width="11.33203125" style="105" customWidth="1"/>
    <col min="12536" max="12536" width="14.6640625" style="105" bestFit="1" customWidth="1"/>
    <col min="12537" max="12779" width="8.83203125" style="105"/>
    <col min="12780" max="12780" width="14.5" style="105" customWidth="1"/>
    <col min="12781" max="12781" width="16.5" style="105" customWidth="1"/>
    <col min="12782" max="12782" width="14.5" style="105" customWidth="1"/>
    <col min="12783" max="12785" width="8.83203125" style="105"/>
    <col min="12786" max="12786" width="10.33203125" style="105" bestFit="1" customWidth="1"/>
    <col min="12787" max="12787" width="10.1640625" style="105" customWidth="1"/>
    <col min="12788" max="12788" width="11.5" style="105" customWidth="1"/>
    <col min="12789" max="12789" width="11" style="105" customWidth="1"/>
    <col min="12790" max="12790" width="6.33203125" style="105" customWidth="1"/>
    <col min="12791" max="12791" width="11.33203125" style="105" customWidth="1"/>
    <col min="12792" max="12792" width="14.6640625" style="105" bestFit="1" customWidth="1"/>
    <col min="12793" max="13035" width="8.83203125" style="105"/>
    <col min="13036" max="13036" width="14.5" style="105" customWidth="1"/>
    <col min="13037" max="13037" width="16.5" style="105" customWidth="1"/>
    <col min="13038" max="13038" width="14.5" style="105" customWidth="1"/>
    <col min="13039" max="13041" width="8.83203125" style="105"/>
    <col min="13042" max="13042" width="10.33203125" style="105" bestFit="1" customWidth="1"/>
    <col min="13043" max="13043" width="10.1640625" style="105" customWidth="1"/>
    <col min="13044" max="13044" width="11.5" style="105" customWidth="1"/>
    <col min="13045" max="13045" width="11" style="105" customWidth="1"/>
    <col min="13046" max="13046" width="6.33203125" style="105" customWidth="1"/>
    <col min="13047" max="13047" width="11.33203125" style="105" customWidth="1"/>
    <col min="13048" max="13048" width="14.6640625" style="105" bestFit="1" customWidth="1"/>
    <col min="13049" max="13291" width="8.83203125" style="105"/>
    <col min="13292" max="13292" width="14.5" style="105" customWidth="1"/>
    <col min="13293" max="13293" width="16.5" style="105" customWidth="1"/>
    <col min="13294" max="13294" width="14.5" style="105" customWidth="1"/>
    <col min="13295" max="13297" width="8.83203125" style="105"/>
    <col min="13298" max="13298" width="10.33203125" style="105" bestFit="1" customWidth="1"/>
    <col min="13299" max="13299" width="10.1640625" style="105" customWidth="1"/>
    <col min="13300" max="13300" width="11.5" style="105" customWidth="1"/>
    <col min="13301" max="13301" width="11" style="105" customWidth="1"/>
    <col min="13302" max="13302" width="6.33203125" style="105" customWidth="1"/>
    <col min="13303" max="13303" width="11.33203125" style="105" customWidth="1"/>
    <col min="13304" max="13304" width="14.6640625" style="105" bestFit="1" customWidth="1"/>
    <col min="13305" max="13547" width="8.83203125" style="105"/>
    <col min="13548" max="13548" width="14.5" style="105" customWidth="1"/>
    <col min="13549" max="13549" width="16.5" style="105" customWidth="1"/>
    <col min="13550" max="13550" width="14.5" style="105" customWidth="1"/>
    <col min="13551" max="13553" width="8.83203125" style="105"/>
    <col min="13554" max="13554" width="10.33203125" style="105" bestFit="1" customWidth="1"/>
    <col min="13555" max="13555" width="10.1640625" style="105" customWidth="1"/>
    <col min="13556" max="13556" width="11.5" style="105" customWidth="1"/>
    <col min="13557" max="13557" width="11" style="105" customWidth="1"/>
    <col min="13558" max="13558" width="6.33203125" style="105" customWidth="1"/>
    <col min="13559" max="13559" width="11.33203125" style="105" customWidth="1"/>
    <col min="13560" max="13560" width="14.6640625" style="105" bestFit="1" customWidth="1"/>
    <col min="13561" max="13803" width="8.83203125" style="105"/>
    <col min="13804" max="13804" width="14.5" style="105" customWidth="1"/>
    <col min="13805" max="13805" width="16.5" style="105" customWidth="1"/>
    <col min="13806" max="13806" width="14.5" style="105" customWidth="1"/>
    <col min="13807" max="13809" width="8.83203125" style="105"/>
    <col min="13810" max="13810" width="10.33203125" style="105" bestFit="1" customWidth="1"/>
    <col min="13811" max="13811" width="10.1640625" style="105" customWidth="1"/>
    <col min="13812" max="13812" width="11.5" style="105" customWidth="1"/>
    <col min="13813" max="13813" width="11" style="105" customWidth="1"/>
    <col min="13814" max="13814" width="6.33203125" style="105" customWidth="1"/>
    <col min="13815" max="13815" width="11.33203125" style="105" customWidth="1"/>
    <col min="13816" max="13816" width="14.6640625" style="105" bestFit="1" customWidth="1"/>
    <col min="13817" max="14059" width="8.83203125" style="105"/>
    <col min="14060" max="14060" width="14.5" style="105" customWidth="1"/>
    <col min="14061" max="14061" width="16.5" style="105" customWidth="1"/>
    <col min="14062" max="14062" width="14.5" style="105" customWidth="1"/>
    <col min="14063" max="14065" width="8.83203125" style="105"/>
    <col min="14066" max="14066" width="10.33203125" style="105" bestFit="1" customWidth="1"/>
    <col min="14067" max="14067" width="10.1640625" style="105" customWidth="1"/>
    <col min="14068" max="14068" width="11.5" style="105" customWidth="1"/>
    <col min="14069" max="14069" width="11" style="105" customWidth="1"/>
    <col min="14070" max="14070" width="6.33203125" style="105" customWidth="1"/>
    <col min="14071" max="14071" width="11.33203125" style="105" customWidth="1"/>
    <col min="14072" max="14072" width="14.6640625" style="105" bestFit="1" customWidth="1"/>
    <col min="14073" max="14315" width="8.83203125" style="105"/>
    <col min="14316" max="14316" width="14.5" style="105" customWidth="1"/>
    <col min="14317" max="14317" width="16.5" style="105" customWidth="1"/>
    <col min="14318" max="14318" width="14.5" style="105" customWidth="1"/>
    <col min="14319" max="14321" width="8.83203125" style="105"/>
    <col min="14322" max="14322" width="10.33203125" style="105" bestFit="1" customWidth="1"/>
    <col min="14323" max="14323" width="10.1640625" style="105" customWidth="1"/>
    <col min="14324" max="14324" width="11.5" style="105" customWidth="1"/>
    <col min="14325" max="14325" width="11" style="105" customWidth="1"/>
    <col min="14326" max="14326" width="6.33203125" style="105" customWidth="1"/>
    <col min="14327" max="14327" width="11.33203125" style="105" customWidth="1"/>
    <col min="14328" max="14328" width="14.6640625" style="105" bestFit="1" customWidth="1"/>
    <col min="14329" max="14571" width="8.83203125" style="105"/>
    <col min="14572" max="14572" width="14.5" style="105" customWidth="1"/>
    <col min="14573" max="14573" width="16.5" style="105" customWidth="1"/>
    <col min="14574" max="14574" width="14.5" style="105" customWidth="1"/>
    <col min="14575" max="14577" width="8.83203125" style="105"/>
    <col min="14578" max="14578" width="10.33203125" style="105" bestFit="1" customWidth="1"/>
    <col min="14579" max="14579" width="10.1640625" style="105" customWidth="1"/>
    <col min="14580" max="14580" width="11.5" style="105" customWidth="1"/>
    <col min="14581" max="14581" width="11" style="105" customWidth="1"/>
    <col min="14582" max="14582" width="6.33203125" style="105" customWidth="1"/>
    <col min="14583" max="14583" width="11.33203125" style="105" customWidth="1"/>
    <col min="14584" max="14584" width="14.6640625" style="105" bestFit="1" customWidth="1"/>
    <col min="14585" max="14827" width="8.83203125" style="105"/>
    <col min="14828" max="14828" width="14.5" style="105" customWidth="1"/>
    <col min="14829" max="14829" width="16.5" style="105" customWidth="1"/>
    <col min="14830" max="14830" width="14.5" style="105" customWidth="1"/>
    <col min="14831" max="14833" width="8.83203125" style="105"/>
    <col min="14834" max="14834" width="10.33203125" style="105" bestFit="1" customWidth="1"/>
    <col min="14835" max="14835" width="10.1640625" style="105" customWidth="1"/>
    <col min="14836" max="14836" width="11.5" style="105" customWidth="1"/>
    <col min="14837" max="14837" width="11" style="105" customWidth="1"/>
    <col min="14838" max="14838" width="6.33203125" style="105" customWidth="1"/>
    <col min="14839" max="14839" width="11.33203125" style="105" customWidth="1"/>
    <col min="14840" max="14840" width="14.6640625" style="105" bestFit="1" customWidth="1"/>
    <col min="14841" max="15083" width="8.83203125" style="105"/>
    <col min="15084" max="15084" width="14.5" style="105" customWidth="1"/>
    <col min="15085" max="15085" width="16.5" style="105" customWidth="1"/>
    <col min="15086" max="15086" width="14.5" style="105" customWidth="1"/>
    <col min="15087" max="15089" width="8.83203125" style="105"/>
    <col min="15090" max="15090" width="10.33203125" style="105" bestFit="1" customWidth="1"/>
    <col min="15091" max="15091" width="10.1640625" style="105" customWidth="1"/>
    <col min="15092" max="15092" width="11.5" style="105" customWidth="1"/>
    <col min="15093" max="15093" width="11" style="105" customWidth="1"/>
    <col min="15094" max="15094" width="6.33203125" style="105" customWidth="1"/>
    <col min="15095" max="15095" width="11.33203125" style="105" customWidth="1"/>
    <col min="15096" max="15096" width="14.6640625" style="105" bestFit="1" customWidth="1"/>
    <col min="15097" max="15339" width="8.83203125" style="105"/>
    <col min="15340" max="15340" width="14.5" style="105" customWidth="1"/>
    <col min="15341" max="15341" width="16.5" style="105" customWidth="1"/>
    <col min="15342" max="15342" width="14.5" style="105" customWidth="1"/>
    <col min="15343" max="15345" width="8.83203125" style="105"/>
    <col min="15346" max="15346" width="10.33203125" style="105" bestFit="1" customWidth="1"/>
    <col min="15347" max="15347" width="10.1640625" style="105" customWidth="1"/>
    <col min="15348" max="15348" width="11.5" style="105" customWidth="1"/>
    <col min="15349" max="15349" width="11" style="105" customWidth="1"/>
    <col min="15350" max="15350" width="6.33203125" style="105" customWidth="1"/>
    <col min="15351" max="15351" width="11.33203125" style="105" customWidth="1"/>
    <col min="15352" max="15352" width="14.6640625" style="105" bestFit="1" customWidth="1"/>
    <col min="15353" max="15595" width="8.83203125" style="105"/>
    <col min="15596" max="15596" width="14.5" style="105" customWidth="1"/>
    <col min="15597" max="15597" width="16.5" style="105" customWidth="1"/>
    <col min="15598" max="15598" width="14.5" style="105" customWidth="1"/>
    <col min="15599" max="15601" width="8.83203125" style="105"/>
    <col min="15602" max="15602" width="10.33203125" style="105" bestFit="1" customWidth="1"/>
    <col min="15603" max="15603" width="10.1640625" style="105" customWidth="1"/>
    <col min="15604" max="15604" width="11.5" style="105" customWidth="1"/>
    <col min="15605" max="15605" width="11" style="105" customWidth="1"/>
    <col min="15606" max="15606" width="6.33203125" style="105" customWidth="1"/>
    <col min="15607" max="15607" width="11.33203125" style="105" customWidth="1"/>
    <col min="15608" max="15608" width="14.6640625" style="105" bestFit="1" customWidth="1"/>
    <col min="15609" max="15851" width="8.83203125" style="105"/>
    <col min="15852" max="15852" width="14.5" style="105" customWidth="1"/>
    <col min="15853" max="15853" width="16.5" style="105" customWidth="1"/>
    <col min="15854" max="15854" width="14.5" style="105" customWidth="1"/>
    <col min="15855" max="15857" width="8.83203125" style="105"/>
    <col min="15858" max="15858" width="10.33203125" style="105" bestFit="1" customWidth="1"/>
    <col min="15859" max="15859" width="10.1640625" style="105" customWidth="1"/>
    <col min="15860" max="15860" width="11.5" style="105" customWidth="1"/>
    <col min="15861" max="15861" width="11" style="105" customWidth="1"/>
    <col min="15862" max="15862" width="6.33203125" style="105" customWidth="1"/>
    <col min="15863" max="15863" width="11.33203125" style="105" customWidth="1"/>
    <col min="15864" max="15864" width="14.6640625" style="105" bestFit="1" customWidth="1"/>
    <col min="15865" max="16107" width="8.83203125" style="105"/>
    <col min="16108" max="16108" width="14.5" style="105" customWidth="1"/>
    <col min="16109" max="16109" width="16.5" style="105" customWidth="1"/>
    <col min="16110" max="16110" width="14.5" style="105" customWidth="1"/>
    <col min="16111" max="16113" width="8.83203125" style="105"/>
    <col min="16114" max="16114" width="10.33203125" style="105" bestFit="1" customWidth="1"/>
    <col min="16115" max="16115" width="10.1640625" style="105" customWidth="1"/>
    <col min="16116" max="16116" width="11.5" style="105" customWidth="1"/>
    <col min="16117" max="16117" width="11" style="105" customWidth="1"/>
    <col min="16118" max="16118" width="6.33203125" style="105" customWidth="1"/>
    <col min="16119" max="16119" width="11.33203125" style="105" customWidth="1"/>
    <col min="16120" max="16120" width="14.6640625" style="105" bestFit="1" customWidth="1"/>
    <col min="16121" max="16384" width="8.83203125" style="105"/>
  </cols>
  <sheetData>
    <row r="1" spans="1:6" x14ac:dyDescent="0.15">
      <c r="A1" s="104" t="s">
        <v>83</v>
      </c>
    </row>
    <row r="2" spans="1:6" ht="26" x14ac:dyDescent="0.15">
      <c r="A2" s="106" t="s">
        <v>18</v>
      </c>
      <c r="B2" s="107" t="s">
        <v>102</v>
      </c>
      <c r="D2" s="106" t="s">
        <v>18</v>
      </c>
      <c r="E2" s="107" t="s">
        <v>102</v>
      </c>
    </row>
    <row r="3" spans="1:6" ht="15.75" customHeight="1" x14ac:dyDescent="0.15">
      <c r="A3" s="108" t="str">
        <f>D3</f>
        <v>2016-09</v>
      </c>
      <c r="B3" s="109">
        <f t="shared" ref="B3:B15" si="0">E3/1000000</f>
        <v>6.3921099999999997</v>
      </c>
      <c r="D3" s="208" t="s">
        <v>86</v>
      </c>
      <c r="E3" s="110">
        <v>6392110</v>
      </c>
      <c r="F3" s="238" t="s">
        <v>153</v>
      </c>
    </row>
    <row r="4" spans="1:6" x14ac:dyDescent="0.15">
      <c r="A4" s="108" t="str">
        <f t="shared" ref="A4:A15" si="1">D4</f>
        <v>2016-10</v>
      </c>
      <c r="B4" s="109">
        <f t="shared" si="0"/>
        <v>6.7739310000000001</v>
      </c>
      <c r="D4" s="208" t="s">
        <v>125</v>
      </c>
      <c r="E4" s="110">
        <v>6773931</v>
      </c>
    </row>
    <row r="5" spans="1:6" x14ac:dyDescent="0.15">
      <c r="A5" s="108" t="str">
        <f t="shared" si="1"/>
        <v>2016-11</v>
      </c>
      <c r="B5" s="109">
        <f t="shared" si="0"/>
        <v>6.9678469999999999</v>
      </c>
      <c r="D5" s="208" t="s">
        <v>126</v>
      </c>
      <c r="E5" s="110">
        <v>6967847</v>
      </c>
    </row>
    <row r="6" spans="1:6" x14ac:dyDescent="0.15">
      <c r="A6" s="108" t="str">
        <f t="shared" si="1"/>
        <v>2016-12</v>
      </c>
      <c r="B6" s="109">
        <f t="shared" si="0"/>
        <v>8.6717399999999998</v>
      </c>
      <c r="D6" s="98" t="s">
        <v>127</v>
      </c>
      <c r="E6" s="110">
        <v>8671740</v>
      </c>
    </row>
    <row r="7" spans="1:6" x14ac:dyDescent="0.15">
      <c r="A7" s="108" t="str">
        <f t="shared" si="1"/>
        <v>2017-01</v>
      </c>
      <c r="B7" s="109">
        <f t="shared" si="0"/>
        <v>6.4249840000000003</v>
      </c>
      <c r="D7" s="98" t="s">
        <v>128</v>
      </c>
      <c r="E7" s="110">
        <v>6424984</v>
      </c>
    </row>
    <row r="8" spans="1:6" x14ac:dyDescent="0.15">
      <c r="A8" s="108" t="str">
        <f t="shared" si="1"/>
        <v>2017-02</v>
      </c>
      <c r="B8" s="109">
        <f t="shared" si="0"/>
        <v>7.7331440000000002</v>
      </c>
      <c r="D8" s="98" t="s">
        <v>129</v>
      </c>
      <c r="E8" s="110">
        <v>7733144</v>
      </c>
    </row>
    <row r="9" spans="1:6" x14ac:dyDescent="0.15">
      <c r="A9" s="108" t="str">
        <f t="shared" si="1"/>
        <v>2017-03</v>
      </c>
      <c r="B9" s="109">
        <f t="shared" si="0"/>
        <v>16.889838999999998</v>
      </c>
      <c r="D9" s="98" t="s">
        <v>130</v>
      </c>
      <c r="E9" s="110">
        <v>16889839</v>
      </c>
    </row>
    <row r="10" spans="1:6" x14ac:dyDescent="0.15">
      <c r="A10" s="108" t="str">
        <f t="shared" si="1"/>
        <v>2017-04</v>
      </c>
      <c r="B10" s="109">
        <f t="shared" si="0"/>
        <v>10.238787</v>
      </c>
      <c r="D10" s="98" t="s">
        <v>131</v>
      </c>
      <c r="E10" s="110">
        <v>10238787</v>
      </c>
    </row>
    <row r="11" spans="1:6" x14ac:dyDescent="0.15">
      <c r="A11" s="108" t="str">
        <f t="shared" si="1"/>
        <v>2017-05</v>
      </c>
      <c r="B11" s="109">
        <f t="shared" si="0"/>
        <v>10.793096</v>
      </c>
      <c r="D11" s="98" t="s">
        <v>132</v>
      </c>
      <c r="E11" s="110">
        <v>10793096</v>
      </c>
    </row>
    <row r="12" spans="1:6" x14ac:dyDescent="0.15">
      <c r="A12" s="108" t="str">
        <f t="shared" si="1"/>
        <v>2017-06</v>
      </c>
      <c r="B12" s="109">
        <f t="shared" si="0"/>
        <v>10.886773</v>
      </c>
      <c r="D12" s="98" t="s">
        <v>133</v>
      </c>
      <c r="E12" s="110">
        <v>10886773</v>
      </c>
    </row>
    <row r="13" spans="1:6" x14ac:dyDescent="0.15">
      <c r="A13" s="108" t="str">
        <f t="shared" si="1"/>
        <v>2017-07</v>
      </c>
      <c r="B13" s="109">
        <f t="shared" si="0"/>
        <v>12.901144</v>
      </c>
      <c r="D13" s="98" t="s">
        <v>134</v>
      </c>
      <c r="E13" s="110">
        <v>12901144</v>
      </c>
    </row>
    <row r="14" spans="1:6" x14ac:dyDescent="0.15">
      <c r="A14" s="108" t="str">
        <f t="shared" si="1"/>
        <v>2017-08</v>
      </c>
      <c r="B14" s="109">
        <f t="shared" si="0"/>
        <v>12.774177999999999</v>
      </c>
      <c r="D14" s="98" t="s">
        <v>135</v>
      </c>
      <c r="E14" s="110">
        <v>12774178</v>
      </c>
    </row>
    <row r="15" spans="1:6" x14ac:dyDescent="0.15">
      <c r="A15" s="108" t="str">
        <f t="shared" si="1"/>
        <v>2017-09</v>
      </c>
      <c r="B15" s="109">
        <f t="shared" si="0"/>
        <v>12.124456</v>
      </c>
      <c r="D15" s="98" t="s">
        <v>136</v>
      </c>
      <c r="E15" s="110">
        <v>12124456</v>
      </c>
    </row>
    <row r="16" spans="1:6" x14ac:dyDescent="0.15">
      <c r="A16" s="111" t="s">
        <v>20</v>
      </c>
      <c r="B16" s="109">
        <f>SUM(B4:B15)</f>
        <v>123.179919</v>
      </c>
      <c r="D16" s="111" t="s">
        <v>20</v>
      </c>
      <c r="E16" s="110">
        <f>SUM(E4:E15)</f>
        <v>123179919</v>
      </c>
    </row>
    <row r="17" spans="1:5" x14ac:dyDescent="0.15">
      <c r="A17" s="105" t="s">
        <v>37</v>
      </c>
      <c r="B17" s="112">
        <f>AVERAGE(B4:B15)</f>
        <v>10.26499325</v>
      </c>
    </row>
    <row r="18" spans="1:5" x14ac:dyDescent="0.15">
      <c r="A18" s="113" t="s">
        <v>137</v>
      </c>
      <c r="B18" s="112">
        <v>76.334549999999993</v>
      </c>
    </row>
    <row r="20" spans="1:5" x14ac:dyDescent="0.15">
      <c r="A20" s="105" t="s">
        <v>38</v>
      </c>
      <c r="B20" s="114"/>
      <c r="C20" s="100"/>
      <c r="D20" s="100"/>
      <c r="E20" s="100"/>
    </row>
    <row r="21" spans="1:5" x14ac:dyDescent="0.15">
      <c r="A21" s="105" t="s">
        <v>21</v>
      </c>
      <c r="B21" s="107" t="s">
        <v>102</v>
      </c>
      <c r="C21" s="115"/>
      <c r="D21" s="116"/>
      <c r="E21" s="116"/>
    </row>
    <row r="22" spans="1:5" x14ac:dyDescent="0.15">
      <c r="A22" s="117">
        <v>42644</v>
      </c>
      <c r="B22" s="118">
        <f t="shared" ref="B22:B33" si="2">B4-B$17</f>
        <v>-3.4910622499999997</v>
      </c>
      <c r="C22" s="119"/>
      <c r="D22" s="119"/>
    </row>
    <row r="23" spans="1:5" x14ac:dyDescent="0.15">
      <c r="A23" s="117">
        <v>42675</v>
      </c>
      <c r="B23" s="118">
        <f t="shared" si="2"/>
        <v>-3.2971462499999999</v>
      </c>
    </row>
    <row r="24" spans="1:5" x14ac:dyDescent="0.15">
      <c r="A24" s="117">
        <v>42705</v>
      </c>
      <c r="B24" s="118">
        <f t="shared" si="2"/>
        <v>-1.5932532500000001</v>
      </c>
    </row>
    <row r="25" spans="1:5" x14ac:dyDescent="0.15">
      <c r="A25" s="117">
        <v>42736</v>
      </c>
      <c r="B25" s="118">
        <f t="shared" si="2"/>
        <v>-3.8400092499999996</v>
      </c>
    </row>
    <row r="26" spans="1:5" x14ac:dyDescent="0.15">
      <c r="A26" s="117">
        <v>42767</v>
      </c>
      <c r="B26" s="118">
        <f t="shared" si="2"/>
        <v>-2.5318492499999996</v>
      </c>
    </row>
    <row r="27" spans="1:5" x14ac:dyDescent="0.15">
      <c r="A27" s="117">
        <v>42795</v>
      </c>
      <c r="B27" s="118">
        <f t="shared" si="2"/>
        <v>6.6248457499999986</v>
      </c>
    </row>
    <row r="28" spans="1:5" x14ac:dyDescent="0.15">
      <c r="A28" s="117">
        <v>42826</v>
      </c>
      <c r="B28" s="118">
        <f t="shared" si="2"/>
        <v>-2.6206249999999542E-2</v>
      </c>
    </row>
    <row r="29" spans="1:5" x14ac:dyDescent="0.15">
      <c r="A29" s="117">
        <v>42856</v>
      </c>
      <c r="B29" s="118">
        <f t="shared" si="2"/>
        <v>0.5281027500000004</v>
      </c>
    </row>
    <row r="30" spans="1:5" x14ac:dyDescent="0.15">
      <c r="A30" s="117">
        <v>42887</v>
      </c>
      <c r="B30" s="118">
        <f t="shared" si="2"/>
        <v>0.62177974999999996</v>
      </c>
    </row>
    <row r="31" spans="1:5" x14ac:dyDescent="0.15">
      <c r="A31" s="117">
        <v>42917</v>
      </c>
      <c r="B31" s="118">
        <f t="shared" si="2"/>
        <v>2.6361507500000005</v>
      </c>
    </row>
    <row r="32" spans="1:5" x14ac:dyDescent="0.15">
      <c r="A32" s="117">
        <v>42948</v>
      </c>
      <c r="B32" s="118">
        <f t="shared" si="2"/>
        <v>2.5091847499999993</v>
      </c>
    </row>
    <row r="33" spans="1:5" x14ac:dyDescent="0.15">
      <c r="A33" s="117">
        <v>42979</v>
      </c>
      <c r="B33" s="118">
        <f t="shared" si="2"/>
        <v>1.8594627500000005</v>
      </c>
    </row>
    <row r="34" spans="1:5" x14ac:dyDescent="0.15">
      <c r="A34" s="105" t="s">
        <v>16</v>
      </c>
      <c r="B34" s="120">
        <f>SUM(B22:B33)</f>
        <v>1.7763568394002505E-15</v>
      </c>
    </row>
    <row r="35" spans="1:5" x14ac:dyDescent="0.15">
      <c r="B35" s="120"/>
      <c r="C35" s="120"/>
      <c r="D35" s="120"/>
      <c r="E35" s="120"/>
    </row>
    <row r="36" spans="1:5" x14ac:dyDescent="0.15">
      <c r="A36" s="105" t="s">
        <v>39</v>
      </c>
      <c r="B36" s="114"/>
      <c r="C36" s="100"/>
      <c r="D36" s="100"/>
      <c r="E36" s="100"/>
    </row>
    <row r="37" spans="1:5" x14ac:dyDescent="0.15">
      <c r="A37" s="105" t="s">
        <v>21</v>
      </c>
      <c r="B37" s="107" t="s">
        <v>102</v>
      </c>
      <c r="C37" s="115"/>
      <c r="D37" s="116"/>
      <c r="E37" s="116"/>
    </row>
    <row r="38" spans="1:5" x14ac:dyDescent="0.15">
      <c r="A38" s="117">
        <f>A22</f>
        <v>42644</v>
      </c>
      <c r="B38" s="118">
        <f>B4-B3</f>
        <v>0.38182100000000041</v>
      </c>
    </row>
    <row r="39" spans="1:5" x14ac:dyDescent="0.15">
      <c r="A39" s="117">
        <f t="shared" ref="A39:A49" si="3">A23</f>
        <v>42675</v>
      </c>
      <c r="B39" s="118">
        <f>B5-B4</f>
        <v>0.19391599999999976</v>
      </c>
      <c r="C39" s="121"/>
    </row>
    <row r="40" spans="1:5" x14ac:dyDescent="0.15">
      <c r="A40" s="117">
        <f t="shared" si="3"/>
        <v>42705</v>
      </c>
      <c r="B40" s="118">
        <f t="shared" ref="B40:B49" si="4">B6-B5</f>
        <v>1.7038929999999999</v>
      </c>
      <c r="C40" s="121"/>
    </row>
    <row r="41" spans="1:5" x14ac:dyDescent="0.15">
      <c r="A41" s="117">
        <f t="shared" si="3"/>
        <v>42736</v>
      </c>
      <c r="B41" s="118">
        <f t="shared" si="4"/>
        <v>-2.2467559999999995</v>
      </c>
      <c r="C41" s="121"/>
    </row>
    <row r="42" spans="1:5" x14ac:dyDescent="0.15">
      <c r="A42" s="117">
        <f t="shared" si="3"/>
        <v>42767</v>
      </c>
      <c r="B42" s="118">
        <f t="shared" si="4"/>
        <v>1.30816</v>
      </c>
      <c r="C42" s="121"/>
    </row>
    <row r="43" spans="1:5" x14ac:dyDescent="0.15">
      <c r="A43" s="117">
        <f t="shared" si="3"/>
        <v>42795</v>
      </c>
      <c r="B43" s="118">
        <f t="shared" si="4"/>
        <v>9.1566949999999991</v>
      </c>
      <c r="C43" s="121"/>
    </row>
    <row r="44" spans="1:5" x14ac:dyDescent="0.15">
      <c r="A44" s="117">
        <f t="shared" si="3"/>
        <v>42826</v>
      </c>
      <c r="B44" s="118">
        <f t="shared" si="4"/>
        <v>-6.6510519999999982</v>
      </c>
      <c r="C44" s="121"/>
    </row>
    <row r="45" spans="1:5" x14ac:dyDescent="0.15">
      <c r="A45" s="117">
        <f t="shared" si="3"/>
        <v>42856</v>
      </c>
      <c r="B45" s="118">
        <f t="shared" si="4"/>
        <v>0.55430899999999994</v>
      </c>
      <c r="C45" s="121"/>
    </row>
    <row r="46" spans="1:5" x14ac:dyDescent="0.15">
      <c r="A46" s="117">
        <f t="shared" si="3"/>
        <v>42887</v>
      </c>
      <c r="B46" s="118">
        <f t="shared" si="4"/>
        <v>9.3676999999999566E-2</v>
      </c>
      <c r="C46" s="121"/>
    </row>
    <row r="47" spans="1:5" x14ac:dyDescent="0.15">
      <c r="A47" s="117">
        <f t="shared" si="3"/>
        <v>42917</v>
      </c>
      <c r="B47" s="118">
        <f t="shared" si="4"/>
        <v>2.0143710000000006</v>
      </c>
      <c r="C47" s="121"/>
    </row>
    <row r="48" spans="1:5" x14ac:dyDescent="0.15">
      <c r="A48" s="117">
        <f t="shared" si="3"/>
        <v>42948</v>
      </c>
      <c r="B48" s="118">
        <f t="shared" si="4"/>
        <v>-0.12696600000000124</v>
      </c>
      <c r="C48" s="121"/>
    </row>
    <row r="49" spans="1:9" x14ac:dyDescent="0.15">
      <c r="A49" s="117">
        <f t="shared" si="3"/>
        <v>42979</v>
      </c>
      <c r="B49" s="118">
        <f t="shared" si="4"/>
        <v>-0.6497219999999988</v>
      </c>
      <c r="C49" s="121"/>
      <c r="F49" s="121"/>
    </row>
    <row r="50" spans="1:9" x14ac:dyDescent="0.15">
      <c r="A50" s="105" t="s">
        <v>16</v>
      </c>
      <c r="B50" s="118">
        <f>SUM(B38:B49)</f>
        <v>5.7323460000000015</v>
      </c>
      <c r="F50" s="121"/>
    </row>
    <row r="54" spans="1:9" x14ac:dyDescent="0.15">
      <c r="A54" s="104" t="s">
        <v>41</v>
      </c>
    </row>
    <row r="55" spans="1:9" x14ac:dyDescent="0.15">
      <c r="A55" s="106" t="s">
        <v>31</v>
      </c>
      <c r="B55" s="107" t="s">
        <v>102</v>
      </c>
      <c r="D55" s="106" t="s">
        <v>42</v>
      </c>
      <c r="E55" s="107" t="s">
        <v>102</v>
      </c>
    </row>
    <row r="56" spans="1:9" x14ac:dyDescent="0.15">
      <c r="A56" s="108" t="str">
        <f>D56</f>
        <v>2016-09</v>
      </c>
      <c r="B56" s="222">
        <f t="shared" ref="B56:B68" si="5">E56/1024</f>
        <v>68.604058139019656</v>
      </c>
      <c r="D56" s="108" t="str">
        <f>D3</f>
        <v>2016-09</v>
      </c>
      <c r="E56" s="222">
        <v>70250.555534356128</v>
      </c>
      <c r="F56" s="238" t="s">
        <v>153</v>
      </c>
    </row>
    <row r="57" spans="1:9" x14ac:dyDescent="0.15">
      <c r="A57" s="108" t="str">
        <f t="shared" ref="A57:A68" si="6">D57</f>
        <v>2016-10</v>
      </c>
      <c r="B57" s="222">
        <f t="shared" si="5"/>
        <v>71.441052750831503</v>
      </c>
      <c r="D57" s="108" t="str">
        <f t="shared" ref="D57:D68" si="7">D4</f>
        <v>2016-10</v>
      </c>
      <c r="E57" s="222">
        <v>73155.638016851459</v>
      </c>
    </row>
    <row r="58" spans="1:9" x14ac:dyDescent="0.15">
      <c r="A58" s="108" t="str">
        <f t="shared" si="6"/>
        <v>2016-11</v>
      </c>
      <c r="B58" s="222">
        <f t="shared" si="5"/>
        <v>66.999933994821674</v>
      </c>
      <c r="D58" s="108" t="str">
        <f t="shared" si="7"/>
        <v>2016-11</v>
      </c>
      <c r="E58" s="222">
        <v>68607.932410697395</v>
      </c>
    </row>
    <row r="59" spans="1:9" x14ac:dyDescent="0.15">
      <c r="A59" s="108" t="str">
        <f t="shared" si="6"/>
        <v>2016-12</v>
      </c>
      <c r="B59" s="222">
        <f t="shared" si="5"/>
        <v>73.921482863353859</v>
      </c>
      <c r="D59" s="108" t="str">
        <f t="shared" si="7"/>
        <v>2016-12</v>
      </c>
      <c r="E59" s="222">
        <v>75695.598452074351</v>
      </c>
      <c r="I59" s="113" t="s">
        <v>103</v>
      </c>
    </row>
    <row r="60" spans="1:9" x14ac:dyDescent="0.15">
      <c r="A60" s="108" t="str">
        <f t="shared" si="6"/>
        <v>2017-01</v>
      </c>
      <c r="B60" s="222">
        <f t="shared" si="5"/>
        <v>77.45012764135285</v>
      </c>
      <c r="D60" s="108" t="str">
        <f t="shared" si="7"/>
        <v>2017-01</v>
      </c>
      <c r="E60" s="222">
        <v>79308.930704745319</v>
      </c>
    </row>
    <row r="61" spans="1:9" x14ac:dyDescent="0.15">
      <c r="A61" s="108" t="str">
        <f t="shared" si="6"/>
        <v>2017-02</v>
      </c>
      <c r="B61" s="222">
        <f t="shared" si="5"/>
        <v>69.156186367923397</v>
      </c>
      <c r="D61" s="108" t="str">
        <f t="shared" si="7"/>
        <v>2017-02</v>
      </c>
      <c r="E61" s="222">
        <v>70815.934840753558</v>
      </c>
    </row>
    <row r="62" spans="1:9" x14ac:dyDescent="0.15">
      <c r="A62" s="108" t="str">
        <f t="shared" si="6"/>
        <v>2017-03</v>
      </c>
      <c r="B62" s="222">
        <f t="shared" si="5"/>
        <v>76.845239644803698</v>
      </c>
      <c r="D62" s="108" t="str">
        <f t="shared" si="7"/>
        <v>2017-03</v>
      </c>
      <c r="E62" s="222">
        <v>78689.525396278987</v>
      </c>
    </row>
    <row r="63" spans="1:9" x14ac:dyDescent="0.15">
      <c r="A63" s="108" t="str">
        <f t="shared" si="6"/>
        <v>2017-04</v>
      </c>
      <c r="B63" s="222">
        <f t="shared" si="5"/>
        <v>50.550829461499106</v>
      </c>
      <c r="D63" s="108" t="str">
        <f t="shared" si="7"/>
        <v>2017-04</v>
      </c>
      <c r="E63" s="222">
        <v>51764.049368575084</v>
      </c>
    </row>
    <row r="64" spans="1:9" x14ac:dyDescent="0.15">
      <c r="A64" s="108" t="str">
        <f t="shared" si="6"/>
        <v>2017-05</v>
      </c>
      <c r="B64" s="222">
        <f t="shared" si="5"/>
        <v>61.57067255055324</v>
      </c>
      <c r="D64" s="108" t="str">
        <f t="shared" si="7"/>
        <v>2017-05</v>
      </c>
      <c r="E64" s="222">
        <v>63048.368691766518</v>
      </c>
    </row>
    <row r="65" spans="1:5" x14ac:dyDescent="0.15">
      <c r="A65" s="108" t="str">
        <f t="shared" si="6"/>
        <v>2017-06</v>
      </c>
      <c r="B65" s="222">
        <f t="shared" si="5"/>
        <v>74.055194084873506</v>
      </c>
      <c r="D65" s="108" t="str">
        <f t="shared" si="7"/>
        <v>2017-06</v>
      </c>
      <c r="E65" s="222">
        <v>75832.51874291047</v>
      </c>
    </row>
    <row r="66" spans="1:5" x14ac:dyDescent="0.15">
      <c r="A66" s="108" t="str">
        <f t="shared" si="6"/>
        <v>2017-07</v>
      </c>
      <c r="B66" s="222">
        <f t="shared" si="5"/>
        <v>114.78283492979511</v>
      </c>
      <c r="D66" s="108" t="str">
        <f t="shared" si="7"/>
        <v>2017-07</v>
      </c>
      <c r="E66" s="222">
        <v>117537.6229681102</v>
      </c>
    </row>
    <row r="67" spans="1:5" x14ac:dyDescent="0.15">
      <c r="A67" s="108" t="str">
        <f t="shared" si="6"/>
        <v>2017-08</v>
      </c>
      <c r="B67" s="222">
        <f t="shared" si="5"/>
        <v>77.954479701506799</v>
      </c>
      <c r="D67" s="108" t="str">
        <f t="shared" si="7"/>
        <v>2017-08</v>
      </c>
      <c r="E67" s="222">
        <v>79825.387214342962</v>
      </c>
    </row>
    <row r="68" spans="1:5" x14ac:dyDescent="0.15">
      <c r="A68" s="108" t="str">
        <f t="shared" si="6"/>
        <v>2017-09</v>
      </c>
      <c r="B68" s="222">
        <f t="shared" si="5"/>
        <v>74.405582761184519</v>
      </c>
      <c r="D68" s="108" t="str">
        <f t="shared" si="7"/>
        <v>2017-09</v>
      </c>
      <c r="E68" s="222">
        <v>76191.316747452947</v>
      </c>
    </row>
    <row r="69" spans="1:5" x14ac:dyDescent="0.15">
      <c r="A69" s="111" t="s">
        <v>20</v>
      </c>
      <c r="B69" s="109">
        <f>SUM(B57:B68)</f>
        <v>889.13361675249917</v>
      </c>
      <c r="D69" s="111" t="s">
        <v>20</v>
      </c>
      <c r="E69" s="109">
        <f>SUM(E57:E68)</f>
        <v>910472.82355455915</v>
      </c>
    </row>
    <row r="70" spans="1:5" x14ac:dyDescent="0.15">
      <c r="A70" s="105" t="s">
        <v>37</v>
      </c>
      <c r="B70" s="112">
        <f>AVERAGE(B57:B68)</f>
        <v>74.094468062708259</v>
      </c>
    </row>
    <row r="71" spans="1:5" x14ac:dyDescent="0.15">
      <c r="A71" s="113" t="s">
        <v>88</v>
      </c>
      <c r="B71" s="112">
        <v>786.37</v>
      </c>
    </row>
    <row r="73" spans="1:5" x14ac:dyDescent="0.15">
      <c r="A73" s="105" t="s">
        <v>38</v>
      </c>
      <c r="B73" s="114"/>
      <c r="C73" s="100"/>
      <c r="D73" s="100"/>
      <c r="E73" s="100"/>
    </row>
    <row r="74" spans="1:5" x14ac:dyDescent="0.15">
      <c r="A74" s="105" t="s">
        <v>21</v>
      </c>
      <c r="B74" s="107" t="s">
        <v>102</v>
      </c>
      <c r="C74" s="115"/>
      <c r="D74" s="116"/>
      <c r="E74" s="116"/>
    </row>
    <row r="75" spans="1:5" x14ac:dyDescent="0.15">
      <c r="A75" s="117">
        <f>A38</f>
        <v>42644</v>
      </c>
      <c r="B75" s="118">
        <f>B57-B$70</f>
        <v>-2.6534153118767563</v>
      </c>
      <c r="C75" s="119"/>
      <c r="D75" s="119"/>
    </row>
    <row r="76" spans="1:5" x14ac:dyDescent="0.15">
      <c r="A76" s="117">
        <f t="shared" ref="A76:A86" si="8">A39</f>
        <v>42675</v>
      </c>
      <c r="B76" s="118">
        <f t="shared" ref="B76:B86" si="9">B58-B$70</f>
        <v>-7.0945340678865847</v>
      </c>
    </row>
    <row r="77" spans="1:5" x14ac:dyDescent="0.15">
      <c r="A77" s="117">
        <f t="shared" si="8"/>
        <v>42705</v>
      </c>
      <c r="B77" s="118">
        <f t="shared" si="9"/>
        <v>-0.17298519935440027</v>
      </c>
    </row>
    <row r="78" spans="1:5" x14ac:dyDescent="0.15">
      <c r="A78" s="117">
        <f t="shared" si="8"/>
        <v>42736</v>
      </c>
      <c r="B78" s="118">
        <f t="shared" si="9"/>
        <v>3.3556595786445911</v>
      </c>
    </row>
    <row r="79" spans="1:5" x14ac:dyDescent="0.15">
      <c r="A79" s="117">
        <f t="shared" si="8"/>
        <v>42767</v>
      </c>
      <c r="B79" s="118">
        <f t="shared" si="9"/>
        <v>-4.9382816947848625</v>
      </c>
    </row>
    <row r="80" spans="1:5" x14ac:dyDescent="0.15">
      <c r="A80" s="117">
        <f t="shared" si="8"/>
        <v>42795</v>
      </c>
      <c r="B80" s="118">
        <f t="shared" si="9"/>
        <v>2.7507715820954388</v>
      </c>
    </row>
    <row r="81" spans="1:5" x14ac:dyDescent="0.15">
      <c r="A81" s="117">
        <f t="shared" si="8"/>
        <v>42826</v>
      </c>
      <c r="B81" s="118">
        <f t="shared" si="9"/>
        <v>-23.543638601209153</v>
      </c>
    </row>
    <row r="82" spans="1:5" x14ac:dyDescent="0.15">
      <c r="A82" s="117">
        <f t="shared" si="8"/>
        <v>42856</v>
      </c>
      <c r="B82" s="118">
        <f t="shared" si="9"/>
        <v>-12.523795512155019</v>
      </c>
    </row>
    <row r="83" spans="1:5" x14ac:dyDescent="0.15">
      <c r="A83" s="117">
        <f t="shared" si="8"/>
        <v>42887</v>
      </c>
      <c r="B83" s="118">
        <f t="shared" si="9"/>
        <v>-3.9273977834753282E-2</v>
      </c>
    </row>
    <row r="84" spans="1:5" x14ac:dyDescent="0.15">
      <c r="A84" s="117">
        <f t="shared" si="8"/>
        <v>42917</v>
      </c>
      <c r="B84" s="118">
        <f t="shared" si="9"/>
        <v>40.688366867086856</v>
      </c>
    </row>
    <row r="85" spans="1:5" x14ac:dyDescent="0.15">
      <c r="A85" s="117">
        <f t="shared" si="8"/>
        <v>42948</v>
      </c>
      <c r="B85" s="118">
        <f t="shared" si="9"/>
        <v>3.8600116387985395</v>
      </c>
    </row>
    <row r="86" spans="1:5" x14ac:dyDescent="0.15">
      <c r="A86" s="117">
        <f t="shared" si="8"/>
        <v>42979</v>
      </c>
      <c r="B86" s="118">
        <f t="shared" si="9"/>
        <v>0.31111469847625983</v>
      </c>
    </row>
    <row r="87" spans="1:5" x14ac:dyDescent="0.15">
      <c r="A87" s="105" t="s">
        <v>16</v>
      </c>
      <c r="B87" s="120">
        <f>SUM(B75:B86)</f>
        <v>1.5631940186722204E-13</v>
      </c>
    </row>
    <row r="88" spans="1:5" x14ac:dyDescent="0.15">
      <c r="B88" s="120"/>
      <c r="C88" s="120"/>
      <c r="D88" s="120"/>
      <c r="E88" s="120"/>
    </row>
    <row r="89" spans="1:5" x14ac:dyDescent="0.15">
      <c r="A89" s="105" t="s">
        <v>39</v>
      </c>
      <c r="B89" s="114"/>
      <c r="C89" s="100"/>
      <c r="D89" s="100"/>
      <c r="E89" s="100"/>
    </row>
    <row r="90" spans="1:5" x14ac:dyDescent="0.15">
      <c r="A90" s="105" t="s">
        <v>21</v>
      </c>
      <c r="B90" s="107" t="s">
        <v>102</v>
      </c>
      <c r="C90" s="115"/>
      <c r="D90" s="116"/>
      <c r="E90" s="116"/>
    </row>
    <row r="91" spans="1:5" x14ac:dyDescent="0.15">
      <c r="A91" s="117">
        <f>A75</f>
        <v>42644</v>
      </c>
      <c r="B91" s="118">
        <f>B57-B56</f>
        <v>2.8369946118118463</v>
      </c>
    </row>
    <row r="92" spans="1:5" x14ac:dyDescent="0.15">
      <c r="A92" s="117">
        <f t="shared" ref="A92:A102" si="10">A76</f>
        <v>42675</v>
      </c>
      <c r="B92" s="118">
        <f>B58-B57</f>
        <v>-4.4411187560098284</v>
      </c>
      <c r="C92" s="121"/>
    </row>
    <row r="93" spans="1:5" x14ac:dyDescent="0.15">
      <c r="A93" s="117">
        <f t="shared" si="10"/>
        <v>42705</v>
      </c>
      <c r="B93" s="118">
        <f t="shared" ref="B93:B102" si="11">B59-B58</f>
        <v>6.9215488685321844</v>
      </c>
      <c r="C93" s="121"/>
    </row>
    <row r="94" spans="1:5" x14ac:dyDescent="0.15">
      <c r="A94" s="117">
        <f t="shared" si="10"/>
        <v>42736</v>
      </c>
      <c r="B94" s="118">
        <f t="shared" si="11"/>
        <v>3.5286447779989913</v>
      </c>
      <c r="C94" s="121"/>
    </row>
    <row r="95" spans="1:5" x14ac:dyDescent="0.15">
      <c r="A95" s="117">
        <f t="shared" si="10"/>
        <v>42767</v>
      </c>
      <c r="B95" s="118">
        <f t="shared" si="11"/>
        <v>-8.2939412734294535</v>
      </c>
      <c r="C95" s="121"/>
    </row>
    <row r="96" spans="1:5" x14ac:dyDescent="0.15">
      <c r="A96" s="117">
        <f t="shared" si="10"/>
        <v>42795</v>
      </c>
      <c r="B96" s="118">
        <f t="shared" si="11"/>
        <v>7.6890532768803013</v>
      </c>
      <c r="C96" s="121"/>
    </row>
    <row r="97" spans="1:4" x14ac:dyDescent="0.15">
      <c r="A97" s="117">
        <f t="shared" si="10"/>
        <v>42826</v>
      </c>
      <c r="B97" s="118">
        <f t="shared" si="11"/>
        <v>-26.294410183304592</v>
      </c>
      <c r="C97" s="121"/>
    </row>
    <row r="98" spans="1:4" x14ac:dyDescent="0.15">
      <c r="A98" s="117">
        <f t="shared" si="10"/>
        <v>42856</v>
      </c>
      <c r="B98" s="118">
        <f t="shared" si="11"/>
        <v>11.019843089054135</v>
      </c>
      <c r="C98" s="121"/>
    </row>
    <row r="99" spans="1:4" x14ac:dyDescent="0.15">
      <c r="A99" s="117">
        <f t="shared" si="10"/>
        <v>42887</v>
      </c>
      <c r="B99" s="118">
        <f t="shared" si="11"/>
        <v>12.484521534320265</v>
      </c>
      <c r="C99" s="121"/>
    </row>
    <row r="100" spans="1:4" x14ac:dyDescent="0.15">
      <c r="A100" s="117">
        <f t="shared" si="10"/>
        <v>42917</v>
      </c>
      <c r="B100" s="118">
        <f t="shared" si="11"/>
        <v>40.727640844921609</v>
      </c>
      <c r="C100" s="121"/>
    </row>
    <row r="101" spans="1:4" x14ac:dyDescent="0.15">
      <c r="A101" s="117">
        <f t="shared" si="10"/>
        <v>42948</v>
      </c>
      <c r="B101" s="118">
        <f t="shared" si="11"/>
        <v>-36.828355228288316</v>
      </c>
      <c r="C101" s="121"/>
    </row>
    <row r="102" spans="1:4" x14ac:dyDescent="0.15">
      <c r="A102" s="117">
        <f t="shared" si="10"/>
        <v>42979</v>
      </c>
      <c r="B102" s="118">
        <f t="shared" si="11"/>
        <v>-3.5488969403222796</v>
      </c>
      <c r="C102" s="121"/>
    </row>
    <row r="106" spans="1:4" x14ac:dyDescent="0.15">
      <c r="A106" s="104" t="s">
        <v>43</v>
      </c>
      <c r="D106" s="105" t="s">
        <v>145</v>
      </c>
    </row>
    <row r="107" spans="1:4" x14ac:dyDescent="0.15">
      <c r="A107" s="106" t="s">
        <v>25</v>
      </c>
      <c r="B107" s="107" t="s">
        <v>102</v>
      </c>
      <c r="D107" s="105" t="s">
        <v>146</v>
      </c>
    </row>
    <row r="108" spans="1:4" x14ac:dyDescent="0.15">
      <c r="A108" s="108" t="str">
        <f>A56</f>
        <v>2016-09</v>
      </c>
      <c r="B108" s="220">
        <v>368</v>
      </c>
      <c r="C108" s="238" t="s">
        <v>153</v>
      </c>
    </row>
    <row r="109" spans="1:4" x14ac:dyDescent="0.15">
      <c r="A109" s="108" t="str">
        <f t="shared" ref="A109:A120" si="12">A57</f>
        <v>2016-10</v>
      </c>
      <c r="B109" s="220">
        <v>351</v>
      </c>
    </row>
    <row r="110" spans="1:4" x14ac:dyDescent="0.15">
      <c r="A110" s="108" t="str">
        <f t="shared" si="12"/>
        <v>2016-11</v>
      </c>
      <c r="B110" s="221">
        <v>352</v>
      </c>
    </row>
    <row r="111" spans="1:4" x14ac:dyDescent="0.15">
      <c r="A111" s="108" t="str">
        <f t="shared" si="12"/>
        <v>2016-12</v>
      </c>
      <c r="B111" s="221">
        <v>333</v>
      </c>
    </row>
    <row r="112" spans="1:4" x14ac:dyDescent="0.15">
      <c r="A112" s="108" t="str">
        <f t="shared" si="12"/>
        <v>2017-01</v>
      </c>
      <c r="B112" s="221">
        <v>367</v>
      </c>
    </row>
    <row r="113" spans="1:5" x14ac:dyDescent="0.15">
      <c r="A113" s="108" t="str">
        <f t="shared" si="12"/>
        <v>2017-02</v>
      </c>
      <c r="B113" s="221">
        <v>363</v>
      </c>
    </row>
    <row r="114" spans="1:5" x14ac:dyDescent="0.15">
      <c r="A114" s="108" t="str">
        <f t="shared" si="12"/>
        <v>2017-03</v>
      </c>
      <c r="B114" s="221">
        <v>397</v>
      </c>
    </row>
    <row r="115" spans="1:5" x14ac:dyDescent="0.15">
      <c r="A115" s="108" t="str">
        <f t="shared" si="12"/>
        <v>2017-04</v>
      </c>
      <c r="B115" s="221">
        <v>390</v>
      </c>
    </row>
    <row r="116" spans="1:5" x14ac:dyDescent="0.15">
      <c r="A116" s="108" t="str">
        <f t="shared" si="12"/>
        <v>2017-05</v>
      </c>
      <c r="B116" s="221">
        <v>332</v>
      </c>
    </row>
    <row r="117" spans="1:5" x14ac:dyDescent="0.15">
      <c r="A117" s="108" t="str">
        <f t="shared" si="12"/>
        <v>2017-06</v>
      </c>
      <c r="B117" s="221">
        <v>338</v>
      </c>
    </row>
    <row r="118" spans="1:5" x14ac:dyDescent="0.15">
      <c r="A118" s="108" t="str">
        <f t="shared" si="12"/>
        <v>2017-07</v>
      </c>
      <c r="B118" s="221">
        <v>346</v>
      </c>
    </row>
    <row r="119" spans="1:5" x14ac:dyDescent="0.15">
      <c r="A119" s="108" t="str">
        <f t="shared" si="12"/>
        <v>2017-08</v>
      </c>
      <c r="B119" s="221">
        <v>379</v>
      </c>
    </row>
    <row r="120" spans="1:5" x14ac:dyDescent="0.15">
      <c r="A120" s="108" t="str">
        <f t="shared" si="12"/>
        <v>2017-09</v>
      </c>
      <c r="B120" s="221">
        <v>383</v>
      </c>
    </row>
    <row r="121" spans="1:5" x14ac:dyDescent="0.15">
      <c r="A121" s="111" t="s">
        <v>20</v>
      </c>
      <c r="B121" s="122">
        <f>SUM(B109:B120)</f>
        <v>4331</v>
      </c>
    </row>
    <row r="122" spans="1:5" x14ac:dyDescent="0.15">
      <c r="A122" s="105" t="s">
        <v>37</v>
      </c>
      <c r="B122" s="58">
        <f>AVERAGE(B109:B120)</f>
        <v>360.91666666666669</v>
      </c>
    </row>
    <row r="123" spans="1:5" x14ac:dyDescent="0.15">
      <c r="A123" s="113" t="s">
        <v>138</v>
      </c>
      <c r="B123" s="243">
        <v>2560</v>
      </c>
      <c r="C123" s="123">
        <f>(B123-B124)/B124</f>
        <v>0.29620253164556964</v>
      </c>
      <c r="D123" s="105" t="s">
        <v>147</v>
      </c>
    </row>
    <row r="124" spans="1:5" x14ac:dyDescent="0.15">
      <c r="A124" s="113" t="s">
        <v>137</v>
      </c>
      <c r="B124" s="58">
        <v>1975</v>
      </c>
      <c r="D124" s="105" t="s">
        <v>147</v>
      </c>
    </row>
    <row r="125" spans="1:5" x14ac:dyDescent="0.15">
      <c r="C125" s="100"/>
      <c r="D125" s="100"/>
      <c r="E125" s="100"/>
    </row>
    <row r="126" spans="1:5" x14ac:dyDescent="0.15">
      <c r="A126" s="104" t="s">
        <v>38</v>
      </c>
      <c r="B126" s="114"/>
      <c r="C126" s="116"/>
      <c r="D126" s="116"/>
      <c r="E126" s="116"/>
    </row>
    <row r="127" spans="1:5" x14ac:dyDescent="0.15">
      <c r="A127" s="105" t="s">
        <v>21</v>
      </c>
      <c r="B127" s="107" t="s">
        <v>102</v>
      </c>
      <c r="C127" s="119"/>
      <c r="D127" s="119"/>
    </row>
    <row r="128" spans="1:5" x14ac:dyDescent="0.15">
      <c r="A128" s="117">
        <f>A91</f>
        <v>42644</v>
      </c>
      <c r="B128" s="124">
        <f t="shared" ref="B128:B139" si="13">B109-B$122</f>
        <v>-9.9166666666666856</v>
      </c>
    </row>
    <row r="129" spans="1:5" x14ac:dyDescent="0.15">
      <c r="A129" s="117">
        <f t="shared" ref="A129:A139" si="14">A92</f>
        <v>42675</v>
      </c>
      <c r="B129" s="124">
        <f t="shared" si="13"/>
        <v>-8.9166666666666856</v>
      </c>
    </row>
    <row r="130" spans="1:5" x14ac:dyDescent="0.15">
      <c r="A130" s="117">
        <f t="shared" si="14"/>
        <v>42705</v>
      </c>
      <c r="B130" s="124">
        <f t="shared" si="13"/>
        <v>-27.916666666666686</v>
      </c>
    </row>
    <row r="131" spans="1:5" x14ac:dyDescent="0.15">
      <c r="A131" s="117">
        <f t="shared" si="14"/>
        <v>42736</v>
      </c>
      <c r="B131" s="124">
        <f t="shared" si="13"/>
        <v>6.0833333333333144</v>
      </c>
    </row>
    <row r="132" spans="1:5" x14ac:dyDescent="0.15">
      <c r="A132" s="117">
        <f t="shared" si="14"/>
        <v>42767</v>
      </c>
      <c r="B132" s="124">
        <f t="shared" si="13"/>
        <v>2.0833333333333144</v>
      </c>
    </row>
    <row r="133" spans="1:5" x14ac:dyDescent="0.15">
      <c r="A133" s="117">
        <f t="shared" si="14"/>
        <v>42795</v>
      </c>
      <c r="B133" s="124">
        <f t="shared" si="13"/>
        <v>36.083333333333314</v>
      </c>
    </row>
    <row r="134" spans="1:5" x14ac:dyDescent="0.15">
      <c r="A134" s="117">
        <f t="shared" si="14"/>
        <v>42826</v>
      </c>
      <c r="B134" s="124">
        <f t="shared" si="13"/>
        <v>29.083333333333314</v>
      </c>
    </row>
    <row r="135" spans="1:5" x14ac:dyDescent="0.15">
      <c r="A135" s="117">
        <f t="shared" si="14"/>
        <v>42856</v>
      </c>
      <c r="B135" s="124">
        <f t="shared" si="13"/>
        <v>-28.916666666666686</v>
      </c>
    </row>
    <row r="136" spans="1:5" x14ac:dyDescent="0.15">
      <c r="A136" s="117">
        <f t="shared" si="14"/>
        <v>42887</v>
      </c>
      <c r="B136" s="124">
        <f t="shared" si="13"/>
        <v>-22.916666666666686</v>
      </c>
    </row>
    <row r="137" spans="1:5" x14ac:dyDescent="0.15">
      <c r="A137" s="117">
        <f t="shared" si="14"/>
        <v>42917</v>
      </c>
      <c r="B137" s="124">
        <f t="shared" si="13"/>
        <v>-14.916666666666686</v>
      </c>
    </row>
    <row r="138" spans="1:5" x14ac:dyDescent="0.15">
      <c r="A138" s="117">
        <f t="shared" si="14"/>
        <v>42948</v>
      </c>
      <c r="B138" s="124">
        <f t="shared" si="13"/>
        <v>18.083333333333314</v>
      </c>
    </row>
    <row r="139" spans="1:5" x14ac:dyDescent="0.15">
      <c r="A139" s="117">
        <f t="shared" si="14"/>
        <v>42979</v>
      </c>
      <c r="B139" s="124">
        <f t="shared" si="13"/>
        <v>22.083333333333314</v>
      </c>
    </row>
    <row r="140" spans="1:5" x14ac:dyDescent="0.15">
      <c r="A140" s="105" t="s">
        <v>16</v>
      </c>
      <c r="B140" s="58">
        <f>SUM(B128:B139)</f>
        <v>-2.2737367544323206E-13</v>
      </c>
      <c r="C140" s="120"/>
      <c r="D140" s="120"/>
      <c r="E140" s="120"/>
    </row>
    <row r="141" spans="1:5" x14ac:dyDescent="0.15">
      <c r="B141" s="120"/>
      <c r="C141" s="100"/>
      <c r="D141" s="100"/>
      <c r="E141" s="100"/>
    </row>
    <row r="142" spans="1:5" x14ac:dyDescent="0.15">
      <c r="A142" s="104" t="s">
        <v>39</v>
      </c>
      <c r="B142" s="125"/>
      <c r="C142" s="116"/>
      <c r="D142" s="116"/>
      <c r="E142" s="116"/>
    </row>
    <row r="143" spans="1:5" x14ac:dyDescent="0.15">
      <c r="A143" s="126" t="s">
        <v>21</v>
      </c>
      <c r="B143" s="107" t="s">
        <v>102</v>
      </c>
    </row>
    <row r="144" spans="1:5" x14ac:dyDescent="0.15">
      <c r="A144" s="117">
        <f>A128</f>
        <v>42644</v>
      </c>
      <c r="B144" s="118">
        <f>B109-B108</f>
        <v>-17</v>
      </c>
      <c r="C144" s="121"/>
    </row>
    <row r="145" spans="1:5" x14ac:dyDescent="0.15">
      <c r="A145" s="117">
        <f t="shared" ref="A145:A155" si="15">A129</f>
        <v>42675</v>
      </c>
      <c r="B145" s="118">
        <f>B110-B109</f>
        <v>1</v>
      </c>
      <c r="C145" s="121"/>
    </row>
    <row r="146" spans="1:5" x14ac:dyDescent="0.15">
      <c r="A146" s="117">
        <f t="shared" si="15"/>
        <v>42705</v>
      </c>
      <c r="B146" s="118">
        <f t="shared" ref="B146:B155" si="16">B111-B110</f>
        <v>-19</v>
      </c>
      <c r="C146" s="121"/>
    </row>
    <row r="147" spans="1:5" x14ac:dyDescent="0.15">
      <c r="A147" s="117">
        <f t="shared" si="15"/>
        <v>42736</v>
      </c>
      <c r="B147" s="118">
        <f t="shared" si="16"/>
        <v>34</v>
      </c>
      <c r="C147" s="121"/>
    </row>
    <row r="148" spans="1:5" x14ac:dyDescent="0.15">
      <c r="A148" s="117">
        <f t="shared" si="15"/>
        <v>42767</v>
      </c>
      <c r="B148" s="118">
        <f t="shared" si="16"/>
        <v>-4</v>
      </c>
      <c r="C148" s="121"/>
    </row>
    <row r="149" spans="1:5" x14ac:dyDescent="0.15">
      <c r="A149" s="117">
        <f t="shared" si="15"/>
        <v>42795</v>
      </c>
      <c r="B149" s="118">
        <f t="shared" si="16"/>
        <v>34</v>
      </c>
      <c r="C149" s="121"/>
    </row>
    <row r="150" spans="1:5" x14ac:dyDescent="0.15">
      <c r="A150" s="117">
        <f t="shared" si="15"/>
        <v>42826</v>
      </c>
      <c r="B150" s="118">
        <f t="shared" si="16"/>
        <v>-7</v>
      </c>
      <c r="C150" s="121"/>
    </row>
    <row r="151" spans="1:5" x14ac:dyDescent="0.15">
      <c r="A151" s="117">
        <f t="shared" si="15"/>
        <v>42856</v>
      </c>
      <c r="B151" s="118">
        <f t="shared" si="16"/>
        <v>-58</v>
      </c>
      <c r="C151" s="121"/>
    </row>
    <row r="152" spans="1:5" x14ac:dyDescent="0.15">
      <c r="A152" s="117">
        <f t="shared" si="15"/>
        <v>42887</v>
      </c>
      <c r="B152" s="118">
        <f t="shared" si="16"/>
        <v>6</v>
      </c>
      <c r="C152" s="121"/>
    </row>
    <row r="153" spans="1:5" x14ac:dyDescent="0.15">
      <c r="A153" s="117">
        <f t="shared" si="15"/>
        <v>42917</v>
      </c>
      <c r="B153" s="118">
        <f t="shared" si="16"/>
        <v>8</v>
      </c>
      <c r="C153" s="121"/>
    </row>
    <row r="154" spans="1:5" x14ac:dyDescent="0.15">
      <c r="A154" s="117">
        <f t="shared" si="15"/>
        <v>42948</v>
      </c>
      <c r="B154" s="118">
        <f t="shared" si="16"/>
        <v>33</v>
      </c>
      <c r="C154" s="121"/>
    </row>
    <row r="155" spans="1:5" ht="12.75" customHeight="1" x14ac:dyDescent="0.15">
      <c r="A155" s="117">
        <f t="shared" si="15"/>
        <v>42979</v>
      </c>
      <c r="B155" s="118">
        <f t="shared" si="16"/>
        <v>4</v>
      </c>
    </row>
    <row r="157" spans="1:5" x14ac:dyDescent="0.15">
      <c r="C157" s="101"/>
      <c r="D157" s="127"/>
      <c r="E157" s="127"/>
    </row>
    <row r="158" spans="1:5" x14ac:dyDescent="0.15">
      <c r="A158" s="104" t="s">
        <v>104</v>
      </c>
      <c r="B158" s="101"/>
      <c r="C158" s="101"/>
      <c r="D158" s="128"/>
      <c r="E158" s="116"/>
    </row>
    <row r="159" spans="1:5" x14ac:dyDescent="0.15">
      <c r="A159" s="129" t="s">
        <v>55</v>
      </c>
      <c r="B159" s="130" t="s">
        <v>105</v>
      </c>
      <c r="C159" s="130" t="s">
        <v>106</v>
      </c>
      <c r="D159" s="112"/>
    </row>
    <row r="160" spans="1:5" x14ac:dyDescent="0.15">
      <c r="A160" s="131" t="s">
        <v>47</v>
      </c>
      <c r="B160" s="132">
        <f t="shared" ref="B160:B165" si="17">C160/52</f>
        <v>0</v>
      </c>
      <c r="C160" s="132"/>
      <c r="D160" s="112"/>
    </row>
    <row r="161" spans="1:8" x14ac:dyDescent="0.15">
      <c r="A161" s="133" t="s">
        <v>48</v>
      </c>
      <c r="B161" s="132">
        <f t="shared" si="17"/>
        <v>0</v>
      </c>
      <c r="C161" s="132"/>
      <c r="D161" s="112"/>
    </row>
    <row r="162" spans="1:8" x14ac:dyDescent="0.15">
      <c r="A162" s="133" t="s">
        <v>49</v>
      </c>
      <c r="B162" s="132">
        <f t="shared" si="17"/>
        <v>15.204008052518342</v>
      </c>
      <c r="C162" s="132">
        <v>790.60841873095376</v>
      </c>
      <c r="D162" s="112"/>
      <c r="G162"/>
      <c r="H162"/>
    </row>
    <row r="163" spans="1:8" x14ac:dyDescent="0.15">
      <c r="A163" s="133" t="s">
        <v>50</v>
      </c>
      <c r="B163" s="132">
        <f t="shared" si="17"/>
        <v>15.701408315805288</v>
      </c>
      <c r="C163" s="132">
        <v>816.47323242187497</v>
      </c>
      <c r="D163" s="112"/>
    </row>
    <row r="164" spans="1:8" x14ac:dyDescent="0.15">
      <c r="A164" s="133" t="s">
        <v>51</v>
      </c>
      <c r="B164" s="132">
        <f t="shared" si="17"/>
        <v>16.356479679987981</v>
      </c>
      <c r="C164" s="132">
        <v>850.53694335937496</v>
      </c>
      <c r="D164" s="112"/>
    </row>
    <row r="165" spans="1:8" ht="12.75" customHeight="1" x14ac:dyDescent="0.15">
      <c r="A165" s="133" t="s">
        <v>53</v>
      </c>
      <c r="B165" s="132">
        <f t="shared" si="17"/>
        <v>16.326743895168047</v>
      </c>
      <c r="C165" s="132">
        <v>848.9906825487385</v>
      </c>
    </row>
    <row r="166" spans="1:8" x14ac:dyDescent="0.15">
      <c r="A166" s="134" t="s">
        <v>87</v>
      </c>
      <c r="B166" s="132">
        <f>C166/52</f>
        <v>20.760576923076922</v>
      </c>
      <c r="C166" s="132">
        <v>1079.55</v>
      </c>
    </row>
    <row r="167" spans="1:8" x14ac:dyDescent="0.15">
      <c r="A167" s="134" t="s">
        <v>124</v>
      </c>
      <c r="B167" s="219">
        <f>C167/52</f>
        <v>21.101483846799091</v>
      </c>
      <c r="C167" s="219">
        <v>1097.2771600335527</v>
      </c>
    </row>
    <row r="168" spans="1:8" x14ac:dyDescent="0.15">
      <c r="A168"/>
      <c r="D168" s="135"/>
      <c r="E168" s="135"/>
    </row>
    <row r="169" spans="1:8" x14ac:dyDescent="0.15">
      <c r="A169" s="136" t="s">
        <v>44</v>
      </c>
      <c r="B169" s="137" t="s">
        <v>102</v>
      </c>
      <c r="C169" s="138"/>
      <c r="D169"/>
      <c r="E169"/>
    </row>
    <row r="170" spans="1:8" x14ac:dyDescent="0.15">
      <c r="A170" s="139" t="s">
        <v>47</v>
      </c>
      <c r="B170" s="140"/>
      <c r="C170"/>
      <c r="D170"/>
      <c r="E170"/>
    </row>
    <row r="171" spans="1:8" x14ac:dyDescent="0.15">
      <c r="A171" s="139" t="s">
        <v>48</v>
      </c>
      <c r="B171" s="140"/>
      <c r="C171"/>
      <c r="D171"/>
      <c r="E171"/>
    </row>
    <row r="172" spans="1:8" x14ac:dyDescent="0.15">
      <c r="A172" s="139" t="s">
        <v>49</v>
      </c>
      <c r="B172" s="140"/>
      <c r="C172"/>
      <c r="D172"/>
      <c r="E172"/>
    </row>
    <row r="173" spans="1:8" x14ac:dyDescent="0.15">
      <c r="A173" s="139" t="s">
        <v>50</v>
      </c>
      <c r="B173" s="140"/>
      <c r="C173"/>
      <c r="D173"/>
      <c r="E173"/>
    </row>
    <row r="174" spans="1:8" x14ac:dyDescent="0.15">
      <c r="A174" s="139" t="s">
        <v>51</v>
      </c>
      <c r="B174" s="140"/>
      <c r="C174"/>
      <c r="D174"/>
      <c r="E174"/>
    </row>
    <row r="175" spans="1:8" x14ac:dyDescent="0.15">
      <c r="A175" s="139" t="s">
        <v>53</v>
      </c>
      <c r="B175" s="141"/>
      <c r="C175"/>
      <c r="D175"/>
      <c r="E175"/>
    </row>
    <row r="176" spans="1:8" x14ac:dyDescent="0.15">
      <c r="A176"/>
      <c r="B176"/>
      <c r="C176"/>
      <c r="D176"/>
      <c r="E176"/>
    </row>
    <row r="177" spans="1:5" x14ac:dyDescent="0.15">
      <c r="A177"/>
      <c r="B177"/>
      <c r="C177"/>
      <c r="D177"/>
      <c r="E177"/>
    </row>
    <row r="178" spans="1:5" x14ac:dyDescent="0.15">
      <c r="A178"/>
      <c r="B178"/>
      <c r="C178"/>
      <c r="D178"/>
      <c r="E178"/>
    </row>
    <row r="179" spans="1:5" x14ac:dyDescent="0.15">
      <c r="A179" s="53" t="s">
        <v>63</v>
      </c>
      <c r="B179"/>
      <c r="C179"/>
    </row>
    <row r="180" spans="1:5" x14ac:dyDescent="0.15">
      <c r="A180" s="137" t="s">
        <v>21</v>
      </c>
      <c r="B180" s="137" t="s">
        <v>102</v>
      </c>
      <c r="D180" s="105" t="s">
        <v>148</v>
      </c>
    </row>
    <row r="181" spans="1:5" x14ac:dyDescent="0.15">
      <c r="A181" s="142" t="str">
        <f>A108</f>
        <v>2016-09</v>
      </c>
      <c r="B181" s="218">
        <v>12439</v>
      </c>
    </row>
    <row r="182" spans="1:5" x14ac:dyDescent="0.15">
      <c r="A182" s="142" t="str">
        <f t="shared" ref="A182:A193" si="18">A109</f>
        <v>2016-10</v>
      </c>
      <c r="B182" s="218">
        <v>11497</v>
      </c>
    </row>
    <row r="183" spans="1:5" x14ac:dyDescent="0.15">
      <c r="A183" s="142" t="str">
        <f t="shared" si="18"/>
        <v>2016-11</v>
      </c>
      <c r="B183" s="218">
        <v>14686</v>
      </c>
    </row>
    <row r="184" spans="1:5" x14ac:dyDescent="0.15">
      <c r="A184" s="142" t="str">
        <f t="shared" si="18"/>
        <v>2016-12</v>
      </c>
      <c r="B184" s="218">
        <v>14221</v>
      </c>
    </row>
    <row r="185" spans="1:5" x14ac:dyDescent="0.15">
      <c r="A185" s="142" t="str">
        <f t="shared" si="18"/>
        <v>2017-01</v>
      </c>
      <c r="B185" s="218">
        <v>20902</v>
      </c>
    </row>
    <row r="186" spans="1:5" x14ac:dyDescent="0.15">
      <c r="A186" s="142" t="str">
        <f t="shared" si="18"/>
        <v>2017-02</v>
      </c>
      <c r="B186" s="218">
        <v>17725</v>
      </c>
    </row>
    <row r="187" spans="1:5" x14ac:dyDescent="0.15">
      <c r="A187" s="142" t="str">
        <f t="shared" si="18"/>
        <v>2017-03</v>
      </c>
      <c r="B187" s="218">
        <v>20179</v>
      </c>
    </row>
    <row r="188" spans="1:5" x14ac:dyDescent="0.15">
      <c r="A188" s="142" t="str">
        <f t="shared" si="18"/>
        <v>2017-04</v>
      </c>
      <c r="B188" s="218">
        <v>17705</v>
      </c>
    </row>
    <row r="189" spans="1:5" x14ac:dyDescent="0.15">
      <c r="A189" s="142" t="str">
        <f t="shared" si="18"/>
        <v>2017-05</v>
      </c>
      <c r="B189" s="218">
        <v>15311</v>
      </c>
    </row>
    <row r="190" spans="1:5" x14ac:dyDescent="0.15">
      <c r="A190" s="142" t="str">
        <f t="shared" si="18"/>
        <v>2017-06</v>
      </c>
      <c r="B190" s="218">
        <v>14411</v>
      </c>
    </row>
    <row r="191" spans="1:5" x14ac:dyDescent="0.15">
      <c r="A191" s="142" t="str">
        <f t="shared" si="18"/>
        <v>2017-07</v>
      </c>
      <c r="B191" s="218">
        <v>16961</v>
      </c>
    </row>
    <row r="192" spans="1:5" x14ac:dyDescent="0.15">
      <c r="A192" s="142" t="str">
        <f t="shared" si="18"/>
        <v>2017-08</v>
      </c>
      <c r="B192" s="218">
        <v>19147</v>
      </c>
    </row>
    <row r="193" spans="1:5" x14ac:dyDescent="0.15">
      <c r="A193" s="142" t="str">
        <f t="shared" si="18"/>
        <v>2017-09</v>
      </c>
      <c r="B193" s="218">
        <v>18138</v>
      </c>
    </row>
    <row r="194" spans="1:5" x14ac:dyDescent="0.15">
      <c r="A194" s="137" t="s">
        <v>62</v>
      </c>
      <c r="B194" s="137">
        <v>38295</v>
      </c>
    </row>
    <row r="195" spans="1:5" x14ac:dyDescent="0.15">
      <c r="A195" s="58" t="s">
        <v>37</v>
      </c>
      <c r="B195" s="120">
        <f>AVERAGE(B182:B193)</f>
        <v>16740.25</v>
      </c>
    </row>
    <row r="196" spans="1:5" x14ac:dyDescent="0.15">
      <c r="A196" s="58" t="s">
        <v>138</v>
      </c>
      <c r="B196" s="58">
        <v>198199</v>
      </c>
      <c r="D196" s="58"/>
      <c r="E196" s="58"/>
    </row>
    <row r="197" spans="1:5" x14ac:dyDescent="0.15">
      <c r="A197" s="58" t="s">
        <v>99</v>
      </c>
      <c r="B197" s="10">
        <v>185720</v>
      </c>
      <c r="C197" s="58"/>
      <c r="D197" s="100"/>
      <c r="E197" s="100"/>
    </row>
    <row r="198" spans="1:5" x14ac:dyDescent="0.15">
      <c r="A198" s="58"/>
      <c r="B198" s="58"/>
      <c r="C198" s="100"/>
      <c r="D198" s="116"/>
      <c r="E198" s="116"/>
    </row>
    <row r="199" spans="1:5" x14ac:dyDescent="0.15">
      <c r="A199" s="105" t="s">
        <v>64</v>
      </c>
      <c r="B199" s="114"/>
      <c r="C199" s="115"/>
    </row>
    <row r="200" spans="1:5" x14ac:dyDescent="0.15">
      <c r="A200" s="105" t="s">
        <v>21</v>
      </c>
      <c r="B200" s="137" t="s">
        <v>102</v>
      </c>
      <c r="C200" s="58"/>
    </row>
    <row r="201" spans="1:5" x14ac:dyDescent="0.15">
      <c r="A201" s="117">
        <f>A144</f>
        <v>42644</v>
      </c>
      <c r="B201" s="58">
        <f>B182-B$195</f>
        <v>-5243.25</v>
      </c>
      <c r="C201" s="58"/>
    </row>
    <row r="202" spans="1:5" x14ac:dyDescent="0.15">
      <c r="A202" s="117">
        <f t="shared" ref="A202:A212" si="19">A145</f>
        <v>42675</v>
      </c>
      <c r="B202" s="58">
        <f t="shared" ref="B202:B212" si="20">B183-B$195</f>
        <v>-2054.25</v>
      </c>
      <c r="C202" s="58"/>
    </row>
    <row r="203" spans="1:5" x14ac:dyDescent="0.15">
      <c r="A203" s="117">
        <f t="shared" si="19"/>
        <v>42705</v>
      </c>
      <c r="B203" s="58">
        <f t="shared" si="20"/>
        <v>-2519.25</v>
      </c>
      <c r="C203" s="58"/>
    </row>
    <row r="204" spans="1:5" x14ac:dyDescent="0.15">
      <c r="A204" s="117">
        <f t="shared" si="19"/>
        <v>42736</v>
      </c>
      <c r="B204" s="58">
        <f t="shared" si="20"/>
        <v>4161.75</v>
      </c>
      <c r="C204" s="58"/>
    </row>
    <row r="205" spans="1:5" x14ac:dyDescent="0.15">
      <c r="A205" s="117">
        <f t="shared" si="19"/>
        <v>42767</v>
      </c>
      <c r="B205" s="58">
        <f t="shared" si="20"/>
        <v>984.75</v>
      </c>
      <c r="C205" s="58"/>
    </row>
    <row r="206" spans="1:5" x14ac:dyDescent="0.15">
      <c r="A206" s="117">
        <f t="shared" si="19"/>
        <v>42795</v>
      </c>
      <c r="B206" s="58">
        <f t="shared" si="20"/>
        <v>3438.75</v>
      </c>
      <c r="C206" s="58"/>
    </row>
    <row r="207" spans="1:5" x14ac:dyDescent="0.15">
      <c r="A207" s="117">
        <f t="shared" si="19"/>
        <v>42826</v>
      </c>
      <c r="B207" s="58">
        <f t="shared" si="20"/>
        <v>964.75</v>
      </c>
      <c r="C207" s="58"/>
    </row>
    <row r="208" spans="1:5" x14ac:dyDescent="0.15">
      <c r="A208" s="117">
        <f t="shared" si="19"/>
        <v>42856</v>
      </c>
      <c r="B208" s="58">
        <f t="shared" si="20"/>
        <v>-1429.25</v>
      </c>
      <c r="C208" s="58"/>
    </row>
    <row r="209" spans="1:5" x14ac:dyDescent="0.15">
      <c r="A209" s="117">
        <f t="shared" si="19"/>
        <v>42887</v>
      </c>
      <c r="B209" s="58">
        <f t="shared" si="20"/>
        <v>-2329.25</v>
      </c>
      <c r="C209" s="58"/>
    </row>
    <row r="210" spans="1:5" x14ac:dyDescent="0.15">
      <c r="A210" s="117">
        <f t="shared" si="19"/>
        <v>42917</v>
      </c>
      <c r="B210" s="58">
        <f t="shared" si="20"/>
        <v>220.75</v>
      </c>
      <c r="C210" s="58"/>
    </row>
    <row r="211" spans="1:5" x14ac:dyDescent="0.15">
      <c r="A211" s="117">
        <f t="shared" si="19"/>
        <v>42948</v>
      </c>
      <c r="B211" s="58">
        <f t="shared" si="20"/>
        <v>2406.75</v>
      </c>
      <c r="C211" s="58"/>
    </row>
    <row r="212" spans="1:5" x14ac:dyDescent="0.15">
      <c r="A212" s="117">
        <f t="shared" si="19"/>
        <v>42979</v>
      </c>
      <c r="B212" s="58">
        <f t="shared" si="20"/>
        <v>1397.75</v>
      </c>
      <c r="C212" s="58"/>
      <c r="D212" s="58"/>
      <c r="E212" s="58"/>
    </row>
    <row r="213" spans="1:5" x14ac:dyDescent="0.15">
      <c r="A213" s="105" t="s">
        <v>16</v>
      </c>
      <c r="B213" s="58">
        <f>SUM(B201:B212)</f>
        <v>0</v>
      </c>
      <c r="C213" s="58"/>
      <c r="D213" s="143"/>
      <c r="E213" s="143"/>
    </row>
    <row r="214" spans="1:5" x14ac:dyDescent="0.15">
      <c r="B214" s="58"/>
      <c r="C214" s="143"/>
      <c r="D214" s="116"/>
      <c r="E214" s="116"/>
    </row>
    <row r="215" spans="1:5" x14ac:dyDescent="0.15">
      <c r="A215" s="105" t="s">
        <v>65</v>
      </c>
      <c r="B215" s="144"/>
      <c r="C215" s="145"/>
    </row>
    <row r="216" spans="1:5" x14ac:dyDescent="0.15">
      <c r="A216" s="126" t="s">
        <v>21</v>
      </c>
      <c r="B216" s="146" t="s">
        <v>102</v>
      </c>
      <c r="C216" s="58"/>
    </row>
    <row r="217" spans="1:5" x14ac:dyDescent="0.15">
      <c r="A217" s="117">
        <f>A201</f>
        <v>42644</v>
      </c>
      <c r="B217" s="58">
        <f>B182-B181</f>
        <v>-942</v>
      </c>
      <c r="C217" s="58"/>
    </row>
    <row r="218" spans="1:5" x14ac:dyDescent="0.15">
      <c r="A218" s="117">
        <f t="shared" ref="A218:A228" si="21">A202</f>
        <v>42675</v>
      </c>
      <c r="B218" s="58">
        <f>B183-B182</f>
        <v>3189</v>
      </c>
      <c r="C218" s="58"/>
    </row>
    <row r="219" spans="1:5" x14ac:dyDescent="0.15">
      <c r="A219" s="117">
        <f t="shared" si="21"/>
        <v>42705</v>
      </c>
      <c r="B219" s="58">
        <f t="shared" ref="B219:B228" si="22">B184-B183</f>
        <v>-465</v>
      </c>
      <c r="C219" s="58"/>
    </row>
    <row r="220" spans="1:5" x14ac:dyDescent="0.15">
      <c r="A220" s="117">
        <f t="shared" si="21"/>
        <v>42736</v>
      </c>
      <c r="B220" s="58">
        <f t="shared" si="22"/>
        <v>6681</v>
      </c>
      <c r="C220" s="58"/>
    </row>
    <row r="221" spans="1:5" x14ac:dyDescent="0.15">
      <c r="A221" s="117">
        <f t="shared" si="21"/>
        <v>42767</v>
      </c>
      <c r="B221" s="58">
        <f t="shared" si="22"/>
        <v>-3177</v>
      </c>
      <c r="C221" s="58"/>
    </row>
    <row r="222" spans="1:5" x14ac:dyDescent="0.15">
      <c r="A222" s="117">
        <f t="shared" si="21"/>
        <v>42795</v>
      </c>
      <c r="B222" s="58">
        <f t="shared" si="22"/>
        <v>2454</v>
      </c>
      <c r="C222" s="58"/>
    </row>
    <row r="223" spans="1:5" x14ac:dyDescent="0.15">
      <c r="A223" s="117">
        <f t="shared" si="21"/>
        <v>42826</v>
      </c>
      <c r="B223" s="58">
        <f t="shared" si="22"/>
        <v>-2474</v>
      </c>
      <c r="C223" s="58"/>
    </row>
    <row r="224" spans="1:5" x14ac:dyDescent="0.15">
      <c r="A224" s="117">
        <f t="shared" si="21"/>
        <v>42856</v>
      </c>
      <c r="B224" s="58">
        <f t="shared" si="22"/>
        <v>-2394</v>
      </c>
      <c r="C224" s="58"/>
    </row>
    <row r="225" spans="1:6" x14ac:dyDescent="0.15">
      <c r="A225" s="117">
        <f t="shared" si="21"/>
        <v>42887</v>
      </c>
      <c r="B225" s="58">
        <f t="shared" si="22"/>
        <v>-900</v>
      </c>
      <c r="C225" s="58"/>
    </row>
    <row r="226" spans="1:6" x14ac:dyDescent="0.15">
      <c r="A226" s="117">
        <f t="shared" si="21"/>
        <v>42917</v>
      </c>
      <c r="B226" s="58">
        <f t="shared" si="22"/>
        <v>2550</v>
      </c>
      <c r="C226" s="58"/>
    </row>
    <row r="227" spans="1:6" x14ac:dyDescent="0.15">
      <c r="A227" s="117">
        <f t="shared" si="21"/>
        <v>42948</v>
      </c>
      <c r="B227" s="58">
        <f t="shared" si="22"/>
        <v>2186</v>
      </c>
      <c r="C227" s="58"/>
      <c r="D227" s="58"/>
      <c r="E227" s="58"/>
    </row>
    <row r="228" spans="1:6" x14ac:dyDescent="0.15">
      <c r="A228" s="117">
        <f t="shared" si="21"/>
        <v>42979</v>
      </c>
      <c r="B228" s="58">
        <f t="shared" si="22"/>
        <v>-1009</v>
      </c>
      <c r="C228" s="58"/>
    </row>
    <row r="229" spans="1:6" x14ac:dyDescent="0.15">
      <c r="A229" s="113"/>
      <c r="B229" s="58"/>
    </row>
    <row r="230" spans="1:6" x14ac:dyDescent="0.15">
      <c r="A230" s="113"/>
      <c r="D230" s="103"/>
    </row>
    <row r="231" spans="1:6" x14ac:dyDescent="0.15">
      <c r="A231" s="53" t="s">
        <v>69</v>
      </c>
      <c r="C231" s="102"/>
      <c r="D231" s="103"/>
      <c r="F231" s="105" t="s">
        <v>148</v>
      </c>
    </row>
    <row r="232" spans="1:6" x14ac:dyDescent="0.15">
      <c r="A232" s="137"/>
      <c r="B232" s="314" t="s">
        <v>102</v>
      </c>
      <c r="C232" s="315"/>
      <c r="D232" s="316"/>
    </row>
    <row r="233" spans="1:6" x14ac:dyDescent="0.15">
      <c r="A233" s="137" t="s">
        <v>68</v>
      </c>
      <c r="B233" s="137" t="s">
        <v>60</v>
      </c>
      <c r="C233" s="137" t="s">
        <v>61</v>
      </c>
      <c r="D233" s="137" t="s">
        <v>59</v>
      </c>
    </row>
    <row r="234" spans="1:6" x14ac:dyDescent="0.15">
      <c r="A234" s="137" t="s">
        <v>47</v>
      </c>
      <c r="B234" s="147"/>
      <c r="C234" s="147"/>
      <c r="D234" s="147"/>
    </row>
    <row r="235" spans="1:6" x14ac:dyDescent="0.15">
      <c r="A235" s="137" t="s">
        <v>48</v>
      </c>
      <c r="B235" s="147"/>
      <c r="C235" s="147"/>
      <c r="D235" s="147"/>
    </row>
    <row r="236" spans="1:6" x14ac:dyDescent="0.15">
      <c r="A236" s="137" t="s">
        <v>49</v>
      </c>
      <c r="B236" s="147">
        <v>592471</v>
      </c>
      <c r="C236" s="147">
        <v>6582527</v>
      </c>
      <c r="D236" s="147">
        <v>325462</v>
      </c>
    </row>
    <row r="237" spans="1:6" x14ac:dyDescent="0.15">
      <c r="A237" s="137" t="s">
        <v>50</v>
      </c>
      <c r="B237" s="147">
        <v>555306</v>
      </c>
      <c r="C237" s="147">
        <v>5791919</v>
      </c>
      <c r="D237" s="147">
        <v>298036</v>
      </c>
    </row>
    <row r="238" spans="1:6" x14ac:dyDescent="0.15">
      <c r="A238" s="137" t="s">
        <v>51</v>
      </c>
      <c r="B238" s="147">
        <v>399036</v>
      </c>
      <c r="C238" s="147">
        <v>4085298</v>
      </c>
      <c r="D238" s="147">
        <v>224482</v>
      </c>
    </row>
    <row r="239" spans="1:6" x14ac:dyDescent="0.15">
      <c r="A239" s="137" t="s">
        <v>53</v>
      </c>
      <c r="B239" s="147">
        <v>349520</v>
      </c>
      <c r="C239" s="147">
        <v>3443353</v>
      </c>
      <c r="D239" s="147">
        <v>198199</v>
      </c>
    </row>
    <row r="240" spans="1:6" x14ac:dyDescent="0.15">
      <c r="A240" s="148" t="s">
        <v>87</v>
      </c>
      <c r="B240" s="149">
        <v>318452</v>
      </c>
      <c r="C240" s="149">
        <v>3076663</v>
      </c>
      <c r="D240" s="149">
        <v>185720</v>
      </c>
    </row>
    <row r="241" spans="1:4" x14ac:dyDescent="0.15">
      <c r="A241" s="148" t="s">
        <v>124</v>
      </c>
      <c r="B241" s="217">
        <v>302452</v>
      </c>
      <c r="C241" s="217">
        <v>2925899</v>
      </c>
      <c r="D241" s="217">
        <v>198199</v>
      </c>
    </row>
  </sheetData>
  <mergeCells count="1">
    <mergeCell ref="B232:D232"/>
  </mergeCells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3"/>
  <sheetViews>
    <sheetView workbookViewId="0">
      <selection activeCell="B2" sqref="B2"/>
    </sheetView>
  </sheetViews>
  <sheetFormatPr baseColWidth="10" defaultColWidth="8.83203125" defaultRowHeight="13" x14ac:dyDescent="0.15"/>
  <cols>
    <col min="1" max="1" width="120.6640625" customWidth="1"/>
  </cols>
  <sheetData>
    <row r="3" spans="1:1" ht="228.75" customHeight="1" x14ac:dyDescent="0.15">
      <c r="A3" s="87" t="s">
        <v>154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CONCATENATE(data!$B$2, " Summary for ", Summary_data!T1)</f>
        <v>ASDC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CONCATENATE(data!$B$2, " Distribution and User Trends ", Summary_data!S1)</f>
        <v>ASDC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Summary_data!C4</f>
        <v>ASDC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Summary_data!D4</f>
        <v>1085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Summary_data!G4</f>
        <v>45315</v>
      </c>
      <c r="F5" s="275" t="s">
        <v>76</v>
      </c>
      <c r="G5" s="276">
        <f>data!$B$15</f>
        <v>31.037472000000001</v>
      </c>
      <c r="H5" s="265"/>
      <c r="I5" s="254">
        <f>(data!$B$15-data!$B17)/data!$B17</f>
        <v>0.67916596650635042</v>
      </c>
      <c r="J5" s="266">
        <f>data!$B$16</f>
        <v>2.5864560000000001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Summary_data!H$4</f>
        <v>58238</v>
      </c>
      <c r="F6" s="258"/>
      <c r="G6" s="277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93" t="str">
        <f>Summary_data!T16</f>
        <v>15,622.5 GB/day</v>
      </c>
      <c r="D7" s="93" t="str">
        <f>CONCATENATE(FIXED(1024*Summary_data!$K$4,1), " GB/day")</f>
        <v>2,007.4 GB/day</v>
      </c>
      <c r="F7" s="248" t="s">
        <v>70</v>
      </c>
      <c r="G7" s="273">
        <f>data!$B$67</f>
        <v>2378.330091915208</v>
      </c>
      <c r="H7" s="252"/>
      <c r="I7" s="254">
        <f>(data!$B$67-data!$B$69)/data!$B$69</f>
        <v>0.80837093283037997</v>
      </c>
      <c r="J7" s="261">
        <f>data!$B$68</f>
        <v>198.19417432626733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CONCATENATE(FIXED(Summary_data!$L$4,1), " TB")</f>
        <v>4,179.5 TB</v>
      </c>
      <c r="F8" s="258"/>
      <c r="G8" s="274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Summary_data!T8</f>
        <v>1,393.7 M</v>
      </c>
      <c r="D9" s="91" t="str">
        <f>CONCATENATE(FIXED(Summary_data!$O$4,1), " M")</f>
        <v>31.0 M</v>
      </c>
      <c r="F9" s="248" t="s">
        <v>66</v>
      </c>
      <c r="G9" s="250">
        <f>data!$B$120</f>
        <v>4698</v>
      </c>
      <c r="H9" s="252"/>
      <c r="I9" s="254">
        <f>(data!$B$120-data!$B$121)/data!$B$121</f>
        <v>0.14529497805948319</v>
      </c>
      <c r="J9" s="256">
        <f>data!$B$119</f>
        <v>648.5</v>
      </c>
      <c r="K9" s="246"/>
    </row>
    <row r="10" spans="1:11" ht="18" customHeight="1" thickBot="1" x14ac:dyDescent="0.2">
      <c r="B10" s="52" t="s">
        <v>6</v>
      </c>
      <c r="C10" s="92" t="str">
        <f>Summary_data!T19</f>
        <v>54,418.7 GB/day</v>
      </c>
      <c r="D10" s="92" t="str">
        <f>CONCATENATE(FIXED(1024*Summary_data!$Q$4,1), " GB/day")</f>
        <v>6,672.4 GB/day</v>
      </c>
      <c r="F10" s="258"/>
      <c r="G10" s="259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data!$B$197</f>
        <v>40974</v>
      </c>
      <c r="H11" s="252"/>
      <c r="I11" s="254">
        <f>(data!$B$197-data!$B$198)/data!$B$198</f>
        <v>5.3234969025525027E-2</v>
      </c>
      <c r="J11" s="256">
        <f>data!$B$196</f>
        <v>3616.6666666666665</v>
      </c>
      <c r="K11" s="246"/>
    </row>
    <row r="12" spans="1:11" ht="18" customHeight="1" thickBot="1" x14ac:dyDescent="0.2">
      <c r="F12" s="249"/>
      <c r="G12" s="251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  <mergeCell ref="B1:K1"/>
    <mergeCell ref="K9:K10"/>
    <mergeCell ref="K11:K12"/>
    <mergeCell ref="F11:F12"/>
    <mergeCell ref="G11:G12"/>
    <mergeCell ref="H11:H12"/>
    <mergeCell ref="I11:I12"/>
    <mergeCell ref="J11:J12"/>
    <mergeCell ref="F9:F10"/>
    <mergeCell ref="G9:G10"/>
    <mergeCell ref="H9:H10"/>
    <mergeCell ref="I9:I10"/>
    <mergeCell ref="J9:J10"/>
    <mergeCell ref="K5:K6"/>
    <mergeCell ref="K7:K8"/>
    <mergeCell ref="J7:J8"/>
  </mergeCells>
  <conditionalFormatting sqref="K7 K5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{8D88A1E3-C260-4787-A30A-589904A5DA5D}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D88A1E3-C260-4787-A30A-589904A5DA5D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data!B183:B194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CONCATENATE("ASF Summary for ", Summary_data!T1)</f>
        <v>ASF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CONCATENATE(data!$C$2, " Distribution and User Trends ", Summary_data!S1)</f>
        <v>ASF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Summary_data!C5</f>
        <v>ASF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Summary_data!D5</f>
        <v>85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Summary_data!G5</f>
        <v>84835</v>
      </c>
      <c r="F5" s="275" t="s">
        <v>76</v>
      </c>
      <c r="G5" s="276">
        <f>data!$C$15</f>
        <v>6.6679250000000012</v>
      </c>
      <c r="H5" s="265"/>
      <c r="I5" s="254">
        <f>(data!$C$15-data!$C$17)/data!$C$17</f>
        <v>0.287138603492957</v>
      </c>
      <c r="J5" s="278">
        <f>data!$C$16</f>
        <v>0.55566041666666677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Summary_data!H$5</f>
        <v>108364</v>
      </c>
      <c r="F6" s="258"/>
      <c r="G6" s="277"/>
      <c r="H6" s="252"/>
      <c r="I6" s="255"/>
      <c r="J6" s="279"/>
      <c r="K6" s="246"/>
    </row>
    <row r="7" spans="1:11" ht="18" customHeight="1" thickBot="1" x14ac:dyDescent="0.2">
      <c r="B7" s="51" t="s">
        <v>3</v>
      </c>
      <c r="C7" s="91" t="str">
        <f>Summary_data!T16</f>
        <v>15,622.5 GB/day</v>
      </c>
      <c r="D7" s="91" t="str">
        <f>CONCATENATE(FIXED(1024*Summary_data!$K$5,1), " GB/day")</f>
        <v>7,566.3 GB/day</v>
      </c>
      <c r="F7" s="248" t="s">
        <v>70</v>
      </c>
      <c r="G7" s="273">
        <f>data!$C$67</f>
        <v>1418.5444757995174</v>
      </c>
      <c r="H7" s="252"/>
      <c r="I7" s="254">
        <f>(data!$C$67-data!$C$69)/data!$C$69</f>
        <v>1.2662689155255715</v>
      </c>
      <c r="J7" s="279">
        <f>data!$C$68</f>
        <v>118.21203964995978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1" t="str">
        <f>CONCATENATE(FIXED(Summary_data!$L$5,1), " TB")</f>
        <v>5,230.0 TB</v>
      </c>
      <c r="F8" s="258"/>
      <c r="G8" s="274"/>
      <c r="H8" s="252"/>
      <c r="I8" s="255"/>
      <c r="J8" s="279"/>
      <c r="K8" s="246"/>
    </row>
    <row r="9" spans="1:11" ht="18" customHeight="1" thickBot="1" x14ac:dyDescent="0.2">
      <c r="B9" s="51" t="s">
        <v>5</v>
      </c>
      <c r="C9" s="88" t="str">
        <f>Summary_data!T8</f>
        <v>1,393.7 M</v>
      </c>
      <c r="D9" s="92" t="str">
        <f>CONCATENATE(FIXED(Summary_data!$O$5,1), " M")</f>
        <v>6.7 M</v>
      </c>
      <c r="F9" s="248" t="s">
        <v>66</v>
      </c>
      <c r="G9" s="250">
        <f>data!$C$120</f>
        <v>53604</v>
      </c>
      <c r="H9" s="252"/>
      <c r="I9" s="254">
        <f>(data!$C$120-data!$C$121)/data!$C$121</f>
        <v>1.6025149293586445</v>
      </c>
      <c r="J9" s="280">
        <f>data!$C$119</f>
        <v>6162.916666666667</v>
      </c>
      <c r="K9" s="246"/>
    </row>
    <row r="10" spans="1:11" ht="18" customHeight="1" thickBot="1" x14ac:dyDescent="0.2">
      <c r="B10" s="52" t="s">
        <v>6</v>
      </c>
      <c r="C10" s="91" t="str">
        <f>Summary_data!T19</f>
        <v>54,418.7 GB/day</v>
      </c>
      <c r="D10" s="91" t="str">
        <f>CONCATENATE(FIXED(1024*Summary_data!$Q$5,1), " GB/day")</f>
        <v>3,979.7 GB/day</v>
      </c>
      <c r="F10" s="258"/>
      <c r="G10" s="259"/>
      <c r="H10" s="252"/>
      <c r="I10" s="255"/>
      <c r="J10" s="280"/>
      <c r="K10" s="246"/>
    </row>
    <row r="11" spans="1:11" ht="18" customHeight="1" x14ac:dyDescent="0.15">
      <c r="E11" s="5"/>
      <c r="F11" s="248" t="s">
        <v>75</v>
      </c>
      <c r="G11" s="250">
        <f>data!$C$197</f>
        <v>70696</v>
      </c>
      <c r="H11" s="252"/>
      <c r="I11" s="254">
        <f>(data!$C$197-data!$C$198)/data!$C$198</f>
        <v>0.70882985666287979</v>
      </c>
      <c r="J11" s="280">
        <f>data!$C$196</f>
        <v>6292.333333333333</v>
      </c>
      <c r="K11" s="246"/>
    </row>
    <row r="12" spans="1:11" ht="18" customHeight="1" thickBot="1" x14ac:dyDescent="0.2">
      <c r="F12" s="249"/>
      <c r="G12" s="251"/>
      <c r="H12" s="253"/>
      <c r="I12" s="255"/>
      <c r="J12" s="281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{B90F4E67-C5C0-44A2-8EC2-F8E65B1465CB}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90F4E67-C5C0-44A2-8EC2-F8E65B1465C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data!C183:C194</xm:f>
              <xm:sqref>K11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CONCATENATE("CDDIS Summary for ", Summary_data!T1)</f>
        <v>CDDIS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CONCATENATE(data!$D$2, " Distribution and User Trends ", Summary_data!S1)</f>
        <v>CDDIS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Summary_data!C6</f>
        <v>CDDIS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Summary_data!D$6</f>
        <v>242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Summary_data!G$6</f>
        <v>269089</v>
      </c>
      <c r="F5" s="275" t="s">
        <v>76</v>
      </c>
      <c r="G5" s="284">
        <f>data!$D$15</f>
        <v>384.034918</v>
      </c>
      <c r="H5" s="265"/>
      <c r="I5" s="254">
        <f>(data!$D$15-data!$D$17)/data!$D$17</f>
        <v>0.21334741396081147</v>
      </c>
      <c r="J5" s="266">
        <f>data!$D$16</f>
        <v>32.002909833333334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Summary_data!H$6</f>
        <v>14866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CONCATENATE(FIXED(1024*Summary_data!$K$6,2), " GB/day")</f>
        <v>7.35 GB/day</v>
      </c>
      <c r="F7" s="248" t="s">
        <v>70</v>
      </c>
      <c r="G7" s="286">
        <f>data!$D$67</f>
        <v>151.56757468700411</v>
      </c>
      <c r="H7" s="252"/>
      <c r="I7" s="254">
        <f>(data!$D$67-data!$D$69)/data!$D$69</f>
        <v>5.975867876531829E-2</v>
      </c>
      <c r="J7" s="261">
        <f>data!$D$68</f>
        <v>12.630631223917009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CONCATENATE(FIXED(Summary_data!$L$6,1), " TB")</f>
        <v>20.2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94" t="str">
        <f>Summary_data!T18</f>
        <v>1,393.6 M</v>
      </c>
      <c r="D9" s="91" t="str">
        <f>CONCATENATE(FIXED(Summary_data!$O$6,1)," M")</f>
        <v>384.0 M</v>
      </c>
      <c r="F9" s="248" t="s">
        <v>66</v>
      </c>
      <c r="G9" s="250">
        <f>data!$D$120</f>
        <v>262451</v>
      </c>
      <c r="H9" s="252"/>
      <c r="I9" s="254">
        <f>(data!$D$120-data!$D$121)/data!$D$121</f>
        <v>9.7368333026709705E-2</v>
      </c>
      <c r="J9" s="256">
        <f>data!$D$119</f>
        <v>28473.833333333332</v>
      </c>
      <c r="K9" s="246"/>
    </row>
    <row r="10" spans="1:11" ht="18" customHeight="1" thickBot="1" x14ac:dyDescent="0.2">
      <c r="B10" s="52" t="s">
        <v>6</v>
      </c>
      <c r="C10" s="89" t="str">
        <f>Summary_data!T19</f>
        <v>54,418.7 GB/day</v>
      </c>
      <c r="D10" s="91" t="str">
        <f>CONCATENATE(FIXED(1024*Summary_data!$Q$6,1), " GB/day")</f>
        <v>425.2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data!$D$197</f>
        <v>11549</v>
      </c>
      <c r="H11" s="252"/>
      <c r="I11" s="254">
        <f>(data!$D$197-data!$D$198)/data!$D$198</f>
        <v>0.3366898148148148</v>
      </c>
      <c r="J11" s="256">
        <f>data!$D$196</f>
        <v>1032.5833333333333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{F5364324-3E38-C342-9AC5-88A4FF93E5F3}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5364324-3E38-C342-9AC5-88A4FF93E5F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data!D183:D194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M33" sqref="M33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22.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CONCATENATE("GESDISC Summary for ", Summary_data!T1)</f>
        <v>GESDISC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CONCATENATE(data!$E$2, " Distribution and User Trends ", Summary_data!S1)</f>
        <v>GESDISC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Summary_data!$C$7</f>
        <v>GESDISC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Summary_data!$D$7</f>
        <v>2013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Summary_data!G$7</f>
        <v>182428</v>
      </c>
      <c r="F5" s="275" t="s">
        <v>76</v>
      </c>
      <c r="G5" s="284">
        <f>data!$E$15</f>
        <v>257.50330300000002</v>
      </c>
      <c r="H5" s="265"/>
      <c r="I5" s="254">
        <f>(data!$E$15-data!$E$17)/data!$E$17</f>
        <v>-0.37065991134430026</v>
      </c>
      <c r="J5" s="266">
        <f>data!$E$16</f>
        <v>21.458608583333334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Summary_data!H$7</f>
        <v>190206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CONCATENATE(FIXED(1024*Summary_data!$K$7,1), " GB/day")</f>
        <v>1,575.2 GB/day</v>
      </c>
      <c r="F7" s="248" t="s">
        <v>70</v>
      </c>
      <c r="G7" s="286">
        <f>data!$E$67</f>
        <v>5627.2969162931304</v>
      </c>
      <c r="H7" s="252"/>
      <c r="I7" s="254">
        <f>(data!$E$67-data!$E$69)/data!$E$69</f>
        <v>0.38638652196468037</v>
      </c>
      <c r="J7" s="261">
        <f>data!$E$68</f>
        <v>468.94140969109418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CONCATENATE(FIXED(Summary_data!$L$7,1), " TB")</f>
        <v>1,683.0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CONCATENATE(FIXED(Summary_data!$O$7,1), " M")</f>
        <v>257.5 M</v>
      </c>
      <c r="F9" s="248" t="s">
        <v>66</v>
      </c>
      <c r="G9" s="250">
        <f>data!$E$120</f>
        <v>108812</v>
      </c>
      <c r="H9" s="252"/>
      <c r="I9" s="254">
        <f>(data!$E$120-data!$E$121)/data!$E$121</f>
        <v>-0.60723928329074084</v>
      </c>
      <c r="J9" s="256">
        <f>data!$E$119</f>
        <v>12962.416666666666</v>
      </c>
      <c r="K9" s="246"/>
    </row>
    <row r="10" spans="1:11" ht="21" customHeight="1" thickBot="1" x14ac:dyDescent="0.2">
      <c r="B10" s="52" t="s">
        <v>6</v>
      </c>
      <c r="C10" s="89" t="str">
        <f>Summary_data!T19</f>
        <v>54,418.7 GB/day</v>
      </c>
      <c r="D10" s="91" t="str">
        <f>CONCATENATE(FIXED(1024*Summary_data!$Q$7,1), " GB/day")</f>
        <v>15,787.3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data!$E$197</f>
        <v>118779</v>
      </c>
      <c r="H11" s="252"/>
      <c r="I11" s="255">
        <f>(data!$E$197-data!$E$198)/data!$E$198</f>
        <v>-7.5340386277119975E-2</v>
      </c>
      <c r="J11" s="256">
        <f>data!$E$196</f>
        <v>10761.666666666666</v>
      </c>
      <c r="K11" s="246"/>
    </row>
    <row r="12" spans="1:11" ht="18" customHeight="1" thickBot="1" x14ac:dyDescent="0.2">
      <c r="F12" s="249"/>
      <c r="G12" s="283"/>
      <c r="H12" s="253"/>
      <c r="I12" s="288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44">
      <iconSet iconSet="3Arrows">
        <cfvo type="percent" val="0"/>
        <cfvo type="num" val="0"/>
        <cfvo type="num" val="0.01"/>
      </iconSet>
    </cfRule>
    <cfRule type="iconSet" priority="47">
      <iconSet showValue="0">
        <cfvo type="percent" val="0"/>
        <cfvo type="num" val="0.9"/>
        <cfvo type="num" val="0.95"/>
      </iconSet>
    </cfRule>
  </conditionalFormatting>
  <conditionalFormatting sqref="I5">
    <cfRule type="iconSet" priority="4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8">
      <iconSet>
        <cfvo type="percent" val="0"/>
        <cfvo type="percent" val="33"/>
        <cfvo type="percent" val="67"/>
      </iconSet>
    </cfRule>
    <cfRule type="iconSet" priority="49">
      <iconSet iconSet="4Arrows">
        <cfvo type="percent" val="0"/>
        <cfvo type="percent" val="25"/>
        <cfvo type="percent" val="50"/>
        <cfvo type="percentile" val="75"/>
      </iconSet>
    </cfRule>
    <cfRule type="iconSet" priority="5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45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K11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{384CEFFD-732E-E44C-8027-7B4E9822E1F6}</x14:id>
        </ext>
      </extLst>
    </cfRule>
  </conditionalFormatting>
  <conditionalFormatting sqref="I11">
    <cfRule type="iconSet" priority="17">
      <iconSet iconSet="3Arrows">
        <cfvo type="percent" val="0"/>
        <cfvo type="num" val="0"/>
        <cfvo type="num" val="0.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0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7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7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84CEFFD-732E-E44C-8027-7B4E9822E1F6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data!E183:E194</xm:f>
              <xm:sqref>K11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CONCATENATE("GHRC Summary for ", Summary_data!T1)</f>
        <v>GHRC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CONCATENATE(data!$F$2, " Distribution and User Trends ", Summary_data!S1)</f>
        <v>GHRC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Summary_data!$C$8</f>
        <v>GHRC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Summary_data!$D$8</f>
        <v>404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Summary_data!G$8</f>
        <v>20252</v>
      </c>
      <c r="F5" s="275" t="s">
        <v>76</v>
      </c>
      <c r="G5" s="284">
        <f>data!$F$15</f>
        <v>6.8701800000000013</v>
      </c>
      <c r="H5" s="265"/>
      <c r="I5" s="254">
        <f>(data!$F$15-data!$F$17)/data!$F$17</f>
        <v>0.74680885199526392</v>
      </c>
      <c r="J5" s="266">
        <f>data!$F$16</f>
        <v>0.57251500000000011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Summary_data!H$8</f>
        <v>23160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CONCATENATE(FIXED(1024*Summary_data!$K$8,1), " GB/day")</f>
        <v>10.9 GB/day</v>
      </c>
      <c r="F7" s="248" t="s">
        <v>70</v>
      </c>
      <c r="G7" s="286">
        <f>data!$F$67</f>
        <v>20.591103977747451</v>
      </c>
      <c r="H7" s="252"/>
      <c r="I7" s="255">
        <f>(data!$F$67-data!$F$69)/data!$F$69</f>
        <v>1.3281735673940007</v>
      </c>
      <c r="J7" s="261">
        <f>data!$F$68</f>
        <v>1.7159253314789542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CONCATENATE(FIXED(Summary_data!$L$8,3), " TB")</f>
        <v>16.097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CONCATENATE(FIXED(Summary_data!$O$8,1), " M")</f>
        <v>6.9 M</v>
      </c>
      <c r="F9" s="248" t="s">
        <v>66</v>
      </c>
      <c r="G9" s="250">
        <f>data!$F$120</f>
        <v>6844</v>
      </c>
      <c r="H9" s="252"/>
      <c r="I9" s="255">
        <f>(data!$F$120-data!$F$121)/data!$F$121</f>
        <v>1.1992287917737789</v>
      </c>
      <c r="J9" s="256">
        <f>data!$F$119</f>
        <v>680.08333333333337</v>
      </c>
      <c r="K9" s="246"/>
    </row>
    <row r="10" spans="1:11" ht="18" customHeight="1" thickBot="1" x14ac:dyDescent="0.2">
      <c r="B10" s="52" t="s">
        <v>6</v>
      </c>
      <c r="C10" s="89" t="str">
        <f>Summary_data!T19</f>
        <v>54,418.7 GB/day</v>
      </c>
      <c r="D10" s="91" t="str">
        <f>CONCATENATE(FIXED(1024*Summary_data!$Q$8,1), " GB/day")</f>
        <v>57.8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data!$F$197</f>
        <v>15823</v>
      </c>
      <c r="H11" s="252"/>
      <c r="I11" s="255">
        <f>(data!$F$197-data!$F$198)/data!$F$198</f>
        <v>0.31333001328021248</v>
      </c>
      <c r="J11" s="256">
        <f>data!$F$196</f>
        <v>1397.5833333333333</v>
      </c>
      <c r="K11" s="246"/>
    </row>
    <row r="12" spans="1:11" ht="18" customHeight="1" thickBot="1" x14ac:dyDescent="0.2">
      <c r="F12" s="249"/>
      <c r="G12" s="283"/>
      <c r="H12" s="253"/>
      <c r="I12" s="288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0"/>
        <cfvo type="num" val="0.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{6818E918-AB31-024A-8E63-3C73C1253B88}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0"/>
        <cfvo type="num" val="0.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818E918-AB31-024A-8E63-3C73C1253B8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data!F183:F194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108" zoomScaleNormal="108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66406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CONCATENATE("LPDAAC Summary for ", Summary_data!T1)</f>
        <v>LPDAAC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CONCATENATE(data!$G$2, " Distribution and User Trends ", Summary_data!S1)</f>
        <v>LP DAAC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Summary_data!$C$9</f>
        <v>LP DAAC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Summary_data!$D$9</f>
        <v>527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Summary_data!G$9</f>
        <v>235950</v>
      </c>
      <c r="F5" s="275" t="s">
        <v>76</v>
      </c>
      <c r="G5" s="284">
        <f>data!$G$15</f>
        <v>208.186137</v>
      </c>
      <c r="H5" s="265"/>
      <c r="I5" s="254">
        <f>(data!$G$15-data!$G$17)/data!$G$17</f>
        <v>0.19242209288067666</v>
      </c>
      <c r="J5" s="266">
        <f>data!$G$16</f>
        <v>17.348844750000001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Summary_data!H$9</f>
        <v>195153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CONCATENATE(FIXED(1024*Summary_data!$K$9,1), " GB/day")</f>
        <v>756.1 GB/day</v>
      </c>
      <c r="F7" s="248" t="s">
        <v>70</v>
      </c>
      <c r="G7" s="286">
        <f>data!$G$67</f>
        <v>4255.6231546384679</v>
      </c>
      <c r="H7" s="252"/>
      <c r="I7" s="254">
        <f>(data!$G$67-data!$G$69)/data!$G$69</f>
        <v>0.7015510159001912</v>
      </c>
      <c r="J7" s="261">
        <f>data!$G$68</f>
        <v>354.63526288653901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CONCATENATE(FIXED(Summary_data!$L$9,1), " TB")</f>
        <v>3,105.0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CONCATENATE(FIXED(Summary_data!$O$9,1), " M")</f>
        <v>208.2 M</v>
      </c>
      <c r="F9" s="248" t="s">
        <v>66</v>
      </c>
      <c r="G9" s="250">
        <f>data!$G$120</f>
        <v>140461</v>
      </c>
      <c r="H9" s="252"/>
      <c r="I9" s="254">
        <f>(data!$G$120-data!$G$121)/data!$G$121</f>
        <v>-0.50039126135547163</v>
      </c>
      <c r="J9" s="256">
        <f>data!$G$119</f>
        <v>14941.583333333334</v>
      </c>
      <c r="K9" s="246"/>
    </row>
    <row r="10" spans="1:11" ht="18" customHeight="1" thickBot="1" x14ac:dyDescent="0.2">
      <c r="B10" s="52" t="s">
        <v>6</v>
      </c>
      <c r="C10" s="89" t="str">
        <f>Summary_data!T19</f>
        <v>54,418.7 GB/day</v>
      </c>
      <c r="D10" s="91" t="str">
        <f>CONCATENATE(FIXED(1024*Summary_data!$Q$9,1), " GB/day")</f>
        <v>11,939.1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data!$G$197</f>
        <v>141014</v>
      </c>
      <c r="H11" s="252"/>
      <c r="I11" s="254">
        <f>(data!$G$197-data!$G$198)/data!$G$198</f>
        <v>-1.6261467089888033E-2</v>
      </c>
      <c r="J11" s="256">
        <f>data!$G$196</f>
        <v>12437.333333333334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K1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{B6491E99-2FBF-0B43-9D09-3914A1453AD9}</x14:id>
        </ext>
      </extLst>
    </cfRule>
  </conditionalFormatting>
  <conditionalFormatting sqref="I9">
    <cfRule type="iconSet" priority="17">
      <iconSet iconSet="3Arrows">
        <cfvo type="percent" val="0"/>
        <cfvo type="num" val="0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 I7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6491E99-2FBF-0B43-9D09-3914A1453AD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data!G183:G194</xm:f>
              <xm:sqref>K11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37"/>
  <sheetViews>
    <sheetView zoomScale="90" zoomScaleNormal="90" zoomScalePageLayoutView="90" workbookViewId="0">
      <selection activeCell="B1" sqref="B1:K32"/>
    </sheetView>
  </sheetViews>
  <sheetFormatPr baseColWidth="10" defaultColWidth="11.5" defaultRowHeight="13" x14ac:dyDescent="0.15"/>
  <cols>
    <col min="1" max="1" width="7.1640625" customWidth="1"/>
    <col min="2" max="2" width="51.83203125" customWidth="1"/>
    <col min="3" max="3" width="20.6640625" customWidth="1"/>
    <col min="4" max="4" width="18.83203125" customWidth="1"/>
    <col min="5" max="5" width="3.5" customWidth="1"/>
    <col min="6" max="6" width="15.1640625" customWidth="1"/>
    <col min="7" max="7" width="13" customWidth="1"/>
    <col min="8" max="8" width="1.6640625" customWidth="1"/>
    <col min="9" max="9" width="14.5" customWidth="1"/>
    <col min="10" max="10" width="15" customWidth="1"/>
    <col min="11" max="11" width="29.5" customWidth="1"/>
    <col min="12" max="12" width="19.83203125" customWidth="1"/>
    <col min="13" max="13" width="22.1640625" customWidth="1"/>
  </cols>
  <sheetData>
    <row r="1" spans="1:11" ht="52" customHeight="1" thickBot="1" x14ac:dyDescent="0.2">
      <c r="A1" s="9"/>
      <c r="B1" s="245" t="str">
        <f>CONCATENATE("MODAPS Summary for ", Summary_data!T1)</f>
        <v>MODAPS Summary for FY 2017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1:11" ht="25" customHeight="1" thickBot="1" x14ac:dyDescent="0.2">
      <c r="B2" s="262" t="str">
        <f>Summary_data!S2</f>
        <v>FY2017 Metrics (Oct 2016 to Sep 2017)</v>
      </c>
      <c r="C2" s="263"/>
      <c r="D2" s="264"/>
      <c r="F2" s="267" t="str">
        <f>CONCATENATE(data!$H$2, " Distribution and User Trends ", Summary_data!S1)</f>
        <v>MODAPS Distribution and User Trends (Oct 2016 to Sep 2017)</v>
      </c>
      <c r="G2" s="268"/>
      <c r="H2" s="268"/>
      <c r="I2" s="269"/>
      <c r="J2" s="269"/>
      <c r="K2" s="270"/>
    </row>
    <row r="3" spans="1:11" ht="18" customHeight="1" thickBot="1" x14ac:dyDescent="0.2">
      <c r="B3" s="62" t="s">
        <v>72</v>
      </c>
      <c r="C3" s="62" t="s">
        <v>71</v>
      </c>
      <c r="D3" s="62" t="str">
        <f>Summary_data!$C$10</f>
        <v>MODAPS</v>
      </c>
      <c r="F3" s="271" t="s">
        <v>72</v>
      </c>
      <c r="G3" s="63" t="s">
        <v>16</v>
      </c>
      <c r="H3" s="64"/>
      <c r="I3" s="65" t="s">
        <v>33</v>
      </c>
      <c r="J3" s="65" t="s">
        <v>40</v>
      </c>
      <c r="K3" s="66" t="s">
        <v>34</v>
      </c>
    </row>
    <row r="4" spans="1:11" ht="18" customHeight="1" thickBot="1" x14ac:dyDescent="0.2">
      <c r="B4" s="50" t="s">
        <v>0</v>
      </c>
      <c r="C4" s="88">
        <f>Summary_data!T13</f>
        <v>11673</v>
      </c>
      <c r="D4" s="90">
        <f>Summary_data!$D$10</f>
        <v>1906</v>
      </c>
      <c r="F4" s="272"/>
      <c r="G4" s="67" t="str">
        <f>Summary_data!X2</f>
        <v>FY2017</v>
      </c>
      <c r="H4" s="68"/>
      <c r="I4" s="69" t="str">
        <f>Summary_data!Y2</f>
        <v>FY2016</v>
      </c>
      <c r="J4" s="68" t="s">
        <v>35</v>
      </c>
      <c r="K4" s="70" t="s">
        <v>36</v>
      </c>
    </row>
    <row r="5" spans="1:11" ht="18" customHeight="1" thickBot="1" x14ac:dyDescent="0.2">
      <c r="B5" s="51" t="s">
        <v>1</v>
      </c>
      <c r="C5" s="88">
        <f>Summary_data!T14</f>
        <v>3039604</v>
      </c>
      <c r="D5" s="91">
        <f>Summary_data!G$10</f>
        <v>388119</v>
      </c>
      <c r="F5" s="275" t="s">
        <v>76</v>
      </c>
      <c r="G5" s="284">
        <f>data!$H$15</f>
        <v>107.76190599999998</v>
      </c>
      <c r="H5" s="265"/>
      <c r="I5" s="254">
        <f>(data!$H$15-data!$H$17)/data!$H$17</f>
        <v>-0.53291816722792518</v>
      </c>
      <c r="J5" s="266">
        <f>data!$H$16</f>
        <v>8.9801588333333324</v>
      </c>
      <c r="K5" s="260"/>
    </row>
    <row r="6" spans="1:11" ht="18" customHeight="1" thickBot="1" x14ac:dyDescent="0.2">
      <c r="B6" s="51" t="s">
        <v>2</v>
      </c>
      <c r="C6" s="88">
        <f>Summary_data!T15</f>
        <v>2921622</v>
      </c>
      <c r="D6" s="91">
        <f>Summary_data!H$10</f>
        <v>301594</v>
      </c>
      <c r="F6" s="258"/>
      <c r="G6" s="285"/>
      <c r="H6" s="252"/>
      <c r="I6" s="255"/>
      <c r="J6" s="261"/>
      <c r="K6" s="246"/>
    </row>
    <row r="7" spans="1:11" ht="18" customHeight="1" thickBot="1" x14ac:dyDescent="0.2">
      <c r="B7" s="51" t="s">
        <v>3</v>
      </c>
      <c r="C7" s="89" t="str">
        <f>Summary_data!T16</f>
        <v>15,622.5 GB/day</v>
      </c>
      <c r="D7" s="89" t="str">
        <f>CONCATENATE(FIXED(1024*Summary_data!$K$10,1), " GB/day")</f>
        <v>847.5 GB/day</v>
      </c>
      <c r="F7" s="248" t="s">
        <v>70</v>
      </c>
      <c r="G7" s="286">
        <f>data!$H$67</f>
        <v>2161.3215733560392</v>
      </c>
      <c r="H7" s="252"/>
      <c r="I7" s="254">
        <f>(data!$H$67-data!$H$69)/data!$H$69</f>
        <v>-0.26373984309131571</v>
      </c>
      <c r="J7" s="261">
        <f>data!$H$68</f>
        <v>180.11013111300326</v>
      </c>
      <c r="K7" s="246"/>
    </row>
    <row r="8" spans="1:11" ht="18" customHeight="1" thickBot="1" x14ac:dyDescent="0.2">
      <c r="B8" s="51" t="s">
        <v>4</v>
      </c>
      <c r="C8" s="88" t="str">
        <f>Summary_data!T17</f>
        <v>24,377.7 TB</v>
      </c>
      <c r="D8" s="92" t="str">
        <f>CONCATENATE(FIXED(Summary_data!$L$10,1), " TB")</f>
        <v>5,817.7 TB</v>
      </c>
      <c r="F8" s="258"/>
      <c r="G8" s="287"/>
      <c r="H8" s="252"/>
      <c r="I8" s="255"/>
      <c r="J8" s="261"/>
      <c r="K8" s="246"/>
    </row>
    <row r="9" spans="1:11" ht="18" customHeight="1" thickBot="1" x14ac:dyDescent="0.2">
      <c r="B9" s="51" t="s">
        <v>5</v>
      </c>
      <c r="C9" s="88" t="str">
        <f>Summary_data!T18</f>
        <v>1,393.6 M</v>
      </c>
      <c r="D9" s="91" t="str">
        <f>CONCATENATE(FIXED(Summary_data!$O$10,1), " M")</f>
        <v>107.8 M</v>
      </c>
      <c r="F9" s="248" t="s">
        <v>66</v>
      </c>
      <c r="G9" s="250">
        <f>data!$H$120</f>
        <v>226661</v>
      </c>
      <c r="H9" s="252"/>
      <c r="I9" s="254">
        <f>(data!$H$120-data!$H$121)/data!$H$121</f>
        <v>-0.10338730285565098</v>
      </c>
      <c r="J9" s="256">
        <f>data!$H$119</f>
        <v>21039.083333333332</v>
      </c>
      <c r="K9" s="246"/>
    </row>
    <row r="10" spans="1:11" ht="18" customHeight="1" thickBot="1" x14ac:dyDescent="0.2">
      <c r="B10" s="52" t="s">
        <v>6</v>
      </c>
      <c r="C10" s="89" t="str">
        <f>Summary_data!T19</f>
        <v>54,418.7 GB/day</v>
      </c>
      <c r="D10" s="95" t="str">
        <f>CONCATENATE(FIXED(1024*Summary_data!$Q$10,1), " GB/day")</f>
        <v>6,063.5 GB/day</v>
      </c>
      <c r="F10" s="258"/>
      <c r="G10" s="282"/>
      <c r="H10" s="252"/>
      <c r="I10" s="255"/>
      <c r="J10" s="256"/>
      <c r="K10" s="246"/>
    </row>
    <row r="11" spans="1:11" ht="18" customHeight="1" x14ac:dyDescent="0.15">
      <c r="E11" s="5"/>
      <c r="F11" s="248" t="s">
        <v>75</v>
      </c>
      <c r="G11" s="250">
        <f>data!$H$197</f>
        <v>169008</v>
      </c>
      <c r="H11" s="252"/>
      <c r="I11" s="254">
        <f>(data!$H$197-data!$H$198)/data!$H$198</f>
        <v>-0.23190401527029791</v>
      </c>
      <c r="J11" s="256">
        <f>data!$H$196</f>
        <v>15496.833333333334</v>
      </c>
      <c r="K11" s="246"/>
    </row>
    <row r="12" spans="1:11" ht="18" customHeight="1" thickBot="1" x14ac:dyDescent="0.2">
      <c r="F12" s="249"/>
      <c r="G12" s="283"/>
      <c r="H12" s="253"/>
      <c r="I12" s="255"/>
      <c r="J12" s="257"/>
      <c r="K12" s="247"/>
    </row>
    <row r="13" spans="1:11" ht="18" customHeight="1" x14ac:dyDescent="0.15"/>
    <row r="14" spans="1:11" ht="25" customHeight="1" x14ac:dyDescent="0.15"/>
    <row r="15" spans="1:11" ht="25" customHeight="1" x14ac:dyDescent="0.15"/>
    <row r="16" spans="1:11" ht="25" customHeight="1" x14ac:dyDescent="0.15"/>
    <row r="17" ht="25" customHeight="1" x14ac:dyDescent="0.15"/>
    <row r="18" ht="25" customHeight="1" x14ac:dyDescent="0.15"/>
    <row r="19" ht="25" customHeight="1" x14ac:dyDescent="0.15"/>
    <row r="20" ht="25" customHeight="1" x14ac:dyDescent="0.15"/>
    <row r="21" ht="25" customHeight="1" x14ac:dyDescent="0.15"/>
    <row r="22" ht="25" customHeight="1" x14ac:dyDescent="0.15"/>
    <row r="23" ht="25" customHeight="1" x14ac:dyDescent="0.15"/>
    <row r="24" ht="25" customHeight="1" x14ac:dyDescent="0.15"/>
    <row r="25" ht="25" customHeight="1" x14ac:dyDescent="0.15"/>
    <row r="26" ht="25" customHeight="1" x14ac:dyDescent="0.15"/>
    <row r="27" ht="25" customHeight="1" x14ac:dyDescent="0.15"/>
    <row r="28" ht="25" customHeight="1" x14ac:dyDescent="0.15"/>
    <row r="29" ht="25" customHeight="1" x14ac:dyDescent="0.15"/>
    <row r="30" ht="25" customHeight="1" x14ac:dyDescent="0.15"/>
    <row r="31" ht="25" customHeight="1" x14ac:dyDescent="0.15"/>
    <row r="32" ht="2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{F401D733-4847-6646-8E37-79B4960E7FBB}</x14:id>
        </ext>
      </extLst>
    </cfRule>
  </conditionalFormatting>
  <conditionalFormatting sqref="I5 I7 I9 I11">
    <cfRule type="iconSet" priority="1">
      <iconSet iconSet="3Arrows">
        <cfvo type="percent" val="0"/>
        <cfvo type="num" val="0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 I7 I9 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 I7 I9 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01D733-4847-6646-8E37-79B4960E7FB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data!H183:H194</xm:f>
              <xm:sqref>K11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manualMax="0" manualMin="0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Introduction</vt:lpstr>
      <vt:lpstr>ASDC</vt:lpstr>
      <vt:lpstr>ASF</vt:lpstr>
      <vt:lpstr>CDDIS</vt:lpstr>
      <vt:lpstr>GESDISC</vt:lpstr>
      <vt:lpstr>GHRC</vt:lpstr>
      <vt:lpstr>LPDAAC</vt:lpstr>
      <vt:lpstr>MODAPS</vt:lpstr>
      <vt:lpstr>NSIDC</vt:lpstr>
      <vt:lpstr>OBDAAC</vt:lpstr>
      <vt:lpstr>ORNL</vt:lpstr>
      <vt:lpstr>PODAAC</vt:lpstr>
      <vt:lpstr>SEDAC</vt:lpstr>
      <vt:lpstr>LANCE</vt:lpstr>
      <vt:lpstr>Summary_data</vt:lpstr>
      <vt:lpstr>data</vt:lpstr>
      <vt:lpstr>L_Summary_data</vt:lpstr>
      <vt:lpstr>L_data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lwanchoo</dc:creator>
  <cp:lastModifiedBy>Microsoft Office User</cp:lastModifiedBy>
  <cp:lastPrinted>2015-12-15T15:48:34Z</cp:lastPrinted>
  <dcterms:created xsi:type="dcterms:W3CDTF">2015-11-25T18:34:53Z</dcterms:created>
  <dcterms:modified xsi:type="dcterms:W3CDTF">2018-01-16T21:55:00Z</dcterms:modified>
</cp:coreProperties>
</file>