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drawings/drawing11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charts/chart23.xml" ContentType="application/vnd.openxmlformats-officedocument.drawingml.chart+xml"/>
  <Override PartName="/xl/drawings/drawing19.xml" ContentType="application/vnd.openxmlformats-officedocument.drawingml.chartshapes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2.xml" ContentType="application/vnd.openxmlformats-officedocument.drawingml.chartshapes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6.xml" ContentType="application/vnd.openxmlformats-officedocument.drawingml.chartshapes+xml"/>
  <Override PartName="/xl/charts/chart33.xml" ContentType="application/vnd.openxmlformats-officedocument.drawingml.chart+xml"/>
  <Override PartName="/xl/drawings/drawing27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0.xml" ContentType="application/vnd.openxmlformats-officedocument.drawingml.chartshapes+xml"/>
  <Override PartName="/xl/charts/chart38.xml" ContentType="application/vnd.openxmlformats-officedocument.drawingml.chart+xml"/>
  <Override PartName="/xl/drawings/drawing31.xml" ContentType="application/vnd.openxmlformats-officedocument.drawingml.chartshapes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4.xml" ContentType="application/vnd.openxmlformats-officedocument.drawingml.chartshapes+xml"/>
  <Override PartName="/xl/charts/chart43.xml" ContentType="application/vnd.openxmlformats-officedocument.drawingml.chart+xml"/>
  <Override PartName="/xl/drawings/drawing35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ml.chartshapes+xml"/>
  <Override PartName="/xl/charts/chart47.xml" ContentType="application/vnd.openxmlformats-officedocument.drawingml.chart+xml"/>
  <Override PartName="/xl/drawings/drawing39.xml" ContentType="application/vnd.openxmlformats-officedocument.drawingml.chartshapes+xml"/>
  <Override PartName="/xl/charts/chart48.xml" ContentType="application/vnd.openxmlformats-officedocument.drawingml.chart+xml"/>
  <Override PartName="/xl/drawings/drawing40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43.xml" ContentType="application/vnd.openxmlformats-officedocument.drawingml.chartshapes+xml"/>
  <Override PartName="/xl/charts/chart53.xml" ContentType="application/vnd.openxmlformats-officedocument.drawingml.chart+xml"/>
  <Override PartName="/xl/drawings/drawing44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47.xml" ContentType="application/vnd.openxmlformats-officedocument.drawingml.chartshapes+xml"/>
  <Override PartName="/xl/charts/chart58.xml" ContentType="application/vnd.openxmlformats-officedocument.drawingml.chart+xml"/>
  <Override PartName="/xl/drawings/drawing48.xml" ContentType="application/vnd.openxmlformats-officedocument.drawingml.chartshape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61.xml" ContentType="application/vnd.openxmlformats-officedocument.drawingml.chart+xml"/>
  <Override PartName="/xl/drawings/drawing51.xml" ContentType="application/vnd.openxmlformats-officedocument.drawingml.chartshapes+xml"/>
  <Override PartName="/xl/charts/chart62.xml" ContentType="application/vnd.openxmlformats-officedocument.drawingml.chart+xml"/>
  <Override PartName="/xl/drawings/drawing52.xml" ContentType="application/vnd.openxmlformats-officedocument.drawingml.chartshapes+xml"/>
  <Override PartName="/xl/charts/chart6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3.xml" ContentType="application/vnd.openxmlformats-officedocument.drawingml.chartshape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wanchoo/Documents/files/esdis/Annual_reports/FY19annualreport/"/>
    </mc:Choice>
  </mc:AlternateContent>
  <xr:revisionPtr revIDLastSave="0" documentId="8_{9DEAA3E0-4A64-0E48-B9A9-8C23A39BF7ED}" xr6:coauthVersionLast="36" xr6:coauthVersionMax="36" xr10:uidLastSave="{00000000-0000-0000-0000-000000000000}"/>
  <bookViews>
    <workbookView xWindow="-46620" yWindow="-6620" windowWidth="29700" windowHeight="23640" tabRatio="870" activeTab="2" xr2:uid="{00000000-000D-0000-FFFF-FFFF00000000}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LAADS" sheetId="49" r:id="rId6"/>
    <sheet name="GESDISC" sheetId="46" r:id="rId7"/>
    <sheet name="GHRC" sheetId="47" r:id="rId8"/>
    <sheet name="LPDAAC" sheetId="48" r:id="rId9"/>
    <sheet name="NSIDC" sheetId="50" r:id="rId10"/>
    <sheet name="ORNL" sheetId="52" r:id="rId11"/>
    <sheet name="OBDAAC" sheetId="51" r:id="rId12"/>
    <sheet name="PODAAC" sheetId="53" r:id="rId13"/>
    <sheet name="SEDAC" sheetId="54" r:id="rId14"/>
    <sheet name="LANCE" sheetId="59" r:id="rId15"/>
    <sheet name="data" sheetId="41" r:id="rId16"/>
    <sheet name="L_Summary_data" sheetId="58" r:id="rId17"/>
    <sheet name="L_data" sheetId="57" r:id="rId18"/>
    <sheet name="Summary_data" sheetId="39" r:id="rId19"/>
  </sheets>
  <definedNames>
    <definedName name="_xlnm.Print_Area" localSheetId="2">ASDC!$A$1:$C$16</definedName>
    <definedName name="_xlnm.Print_Area" localSheetId="3">ASF!$A$1:$C$16</definedName>
    <definedName name="_xlnm.Print_Area" localSheetId="4">CDDIS!$A$1:$C$16</definedName>
    <definedName name="_xlnm.Print_Area" localSheetId="6">GESDISC!$A$1:$C$16</definedName>
    <definedName name="_xlnm.Print_Area" localSheetId="7">GHRC!$A$1:$C$16</definedName>
    <definedName name="_xlnm.Print_Area" localSheetId="16">L_Summary_data!#REF!</definedName>
    <definedName name="_xlnm.Print_Area" localSheetId="5">LAADS!$A$1:$C$16</definedName>
    <definedName name="_xlnm.Print_Area" localSheetId="14">LANCE!$A$1:$C$15</definedName>
    <definedName name="_xlnm.Print_Area" localSheetId="8">LPDAAC!$A$1:$C$16</definedName>
    <definedName name="_xlnm.Print_Area" localSheetId="9">NSIDC!$A$1:$K$34</definedName>
    <definedName name="_xlnm.Print_Area" localSheetId="11">OBDAAC!$A$1:$C$14</definedName>
    <definedName name="_xlnm.Print_Area" localSheetId="10">ORNL!$A$1:$C$16</definedName>
    <definedName name="_xlnm.Print_Area" localSheetId="12">PODAAC!$A$1:$C$16</definedName>
    <definedName name="_xlnm.Print_Area" localSheetId="13">SEDAC!$A$1:$C$16</definedName>
    <definedName name="_xlnm.Print_Area" localSheetId="18">Summary_data!#REF!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4" l="1"/>
  <c r="C6" i="54"/>
  <c r="D6" i="53"/>
  <c r="C6" i="53"/>
  <c r="D6" i="51"/>
  <c r="C6" i="51"/>
  <c r="D6" i="52"/>
  <c r="C6" i="52"/>
  <c r="D6" i="50"/>
  <c r="C6" i="50"/>
  <c r="D6" i="48"/>
  <c r="C6" i="48"/>
  <c r="C6" i="47"/>
  <c r="D6" i="47"/>
  <c r="C6" i="46"/>
  <c r="C5" i="46"/>
  <c r="D6" i="46"/>
  <c r="C6" i="49"/>
  <c r="D6" i="49"/>
  <c r="C6" i="45"/>
  <c r="D6" i="45"/>
  <c r="D7" i="44"/>
  <c r="D6" i="44"/>
  <c r="C6" i="44"/>
  <c r="B2" i="44"/>
  <c r="D3" i="44"/>
  <c r="C4" i="44"/>
  <c r="D4" i="44"/>
  <c r="C5" i="44"/>
  <c r="D5" i="44"/>
  <c r="C7" i="44"/>
  <c r="C8" i="44"/>
  <c r="D8" i="44"/>
  <c r="C9" i="44"/>
  <c r="D9" i="44"/>
  <c r="C10" i="44"/>
  <c r="D10" i="44"/>
  <c r="C11" i="44"/>
  <c r="D11" i="44"/>
  <c r="C12" i="44"/>
  <c r="D12" i="44"/>
  <c r="D6" i="43" l="1"/>
  <c r="C6" i="43"/>
  <c r="D10" i="59" l="1"/>
  <c r="D6" i="59"/>
  <c r="H4" i="58"/>
  <c r="C4" i="59"/>
  <c r="D8" i="54"/>
  <c r="D7" i="54"/>
  <c r="C8" i="54"/>
  <c r="C7" i="54"/>
  <c r="C5" i="54"/>
  <c r="C4" i="54"/>
  <c r="D8" i="53"/>
  <c r="D7" i="53"/>
  <c r="C8" i="53"/>
  <c r="C7" i="53"/>
  <c r="C5" i="53"/>
  <c r="C4" i="53"/>
  <c r="C8" i="51"/>
  <c r="C7" i="51"/>
  <c r="C5" i="51"/>
  <c r="C4" i="51"/>
  <c r="D8" i="52"/>
  <c r="D7" i="52"/>
  <c r="C8" i="52"/>
  <c r="C7" i="52"/>
  <c r="C5" i="52"/>
  <c r="C4" i="52"/>
  <c r="D8" i="50"/>
  <c r="D7" i="50"/>
  <c r="C8" i="50"/>
  <c r="C7" i="50"/>
  <c r="C5" i="50"/>
  <c r="C4" i="50"/>
  <c r="D8" i="48"/>
  <c r="D7" i="48"/>
  <c r="C8" i="48"/>
  <c r="C7" i="48"/>
  <c r="C5" i="48"/>
  <c r="C4" i="48"/>
  <c r="D8" i="47"/>
  <c r="D7" i="47"/>
  <c r="C8" i="47"/>
  <c r="C7" i="47"/>
  <c r="C5" i="47"/>
  <c r="C4" i="47"/>
  <c r="D8" i="46"/>
  <c r="D7" i="46"/>
  <c r="C8" i="46"/>
  <c r="C7" i="46"/>
  <c r="C4" i="46"/>
  <c r="D8" i="49"/>
  <c r="D7" i="49"/>
  <c r="C8" i="49"/>
  <c r="C7" i="49"/>
  <c r="C5" i="49"/>
  <c r="C4" i="49"/>
  <c r="D8" i="45"/>
  <c r="D7" i="45"/>
  <c r="C8" i="45"/>
  <c r="C7" i="45"/>
  <c r="C5" i="45"/>
  <c r="C4" i="45"/>
  <c r="D8" i="43"/>
  <c r="D7" i="43"/>
  <c r="I5" i="39"/>
  <c r="I6" i="39"/>
  <c r="I7" i="39"/>
  <c r="I8" i="39"/>
  <c r="I9" i="39"/>
  <c r="I10" i="39"/>
  <c r="I11" i="39"/>
  <c r="I12" i="39"/>
  <c r="I13" i="39"/>
  <c r="I14" i="39"/>
  <c r="I15" i="39"/>
  <c r="I4" i="39"/>
  <c r="I16" i="39" l="1"/>
  <c r="C8" i="43"/>
  <c r="C7" i="43"/>
  <c r="C5" i="43"/>
  <c r="AA6" i="39" l="1"/>
  <c r="C6" i="59" s="1"/>
  <c r="AA7" i="39"/>
  <c r="C10" i="59" s="1"/>
  <c r="AA5" i="39"/>
  <c r="AA4" i="39"/>
  <c r="C5" i="59" s="1"/>
  <c r="J16" i="39" l="1"/>
  <c r="J13" i="59" l="1"/>
  <c r="I13" i="59"/>
  <c r="G13" i="59"/>
  <c r="A271" i="57"/>
  <c r="A287" i="57" s="1"/>
  <c r="A272" i="57"/>
  <c r="A273" i="57"/>
  <c r="A274" i="57"/>
  <c r="A275" i="57"/>
  <c r="A276" i="57"/>
  <c r="A292" i="57" s="1"/>
  <c r="A277" i="57"/>
  <c r="A278" i="57"/>
  <c r="A294" i="57" s="1"/>
  <c r="A279" i="57"/>
  <c r="A295" i="57" s="1"/>
  <c r="A280" i="57"/>
  <c r="A281" i="57"/>
  <c r="A270" i="57"/>
  <c r="A251" i="57"/>
  <c r="A252" i="57"/>
  <c r="A253" i="57"/>
  <c r="A254" i="57"/>
  <c r="A255" i="57"/>
  <c r="A256" i="57"/>
  <c r="A257" i="57"/>
  <c r="A258" i="57"/>
  <c r="A259" i="57"/>
  <c r="A260" i="57"/>
  <c r="A261" i="57"/>
  <c r="A262" i="57"/>
  <c r="A250" i="57"/>
  <c r="B297" i="57"/>
  <c r="B296" i="57"/>
  <c r="A296" i="57"/>
  <c r="B295" i="57"/>
  <c r="B294" i="57"/>
  <c r="B293" i="57"/>
  <c r="A293" i="57"/>
  <c r="B292" i="57"/>
  <c r="B291" i="57"/>
  <c r="B290" i="57"/>
  <c r="B289" i="57"/>
  <c r="A289" i="57"/>
  <c r="B288" i="57"/>
  <c r="A288" i="57"/>
  <c r="B287" i="57"/>
  <c r="B286" i="57"/>
  <c r="B281" i="57"/>
  <c r="A297" i="57"/>
  <c r="B280" i="57"/>
  <c r="B279" i="57"/>
  <c r="B278" i="57"/>
  <c r="B277" i="57"/>
  <c r="B276" i="57"/>
  <c r="B275" i="57"/>
  <c r="A291" i="57"/>
  <c r="B274" i="57"/>
  <c r="A290" i="57"/>
  <c r="B273" i="57"/>
  <c r="B272" i="57"/>
  <c r="B271" i="57"/>
  <c r="B282" i="57" s="1"/>
  <c r="B270" i="57"/>
  <c r="A286" i="57"/>
  <c r="B264" i="57"/>
  <c r="B263" i="57"/>
  <c r="J13" i="54"/>
  <c r="I13" i="54"/>
  <c r="G13" i="54"/>
  <c r="J13" i="53"/>
  <c r="I13" i="53"/>
  <c r="G13" i="53"/>
  <c r="J13" i="52"/>
  <c r="I13" i="52"/>
  <c r="G13" i="52"/>
  <c r="J13" i="50"/>
  <c r="I13" i="50"/>
  <c r="G13" i="50"/>
  <c r="J13" i="49"/>
  <c r="I13" i="49"/>
  <c r="G13" i="49"/>
  <c r="J13" i="48"/>
  <c r="I13" i="48"/>
  <c r="G13" i="48"/>
  <c r="J13" i="47"/>
  <c r="I13" i="47"/>
  <c r="G13" i="47"/>
  <c r="J13" i="46"/>
  <c r="I13" i="46"/>
  <c r="G13" i="46"/>
  <c r="J13" i="45"/>
  <c r="I13" i="45"/>
  <c r="G13" i="45"/>
  <c r="J13" i="44"/>
  <c r="I13" i="44"/>
  <c r="G13" i="44"/>
  <c r="AH290" i="41"/>
  <c r="AG290" i="41"/>
  <c r="AF290" i="41"/>
  <c r="AE290" i="41"/>
  <c r="AD290" i="41"/>
  <c r="AC290" i="41"/>
  <c r="AB290" i="41"/>
  <c r="AA290" i="41"/>
  <c r="Z290" i="41"/>
  <c r="Y290" i="41"/>
  <c r="X290" i="41"/>
  <c r="W290" i="41"/>
  <c r="V290" i="41"/>
  <c r="U290" i="41"/>
  <c r="T290" i="41"/>
  <c r="S290" i="41"/>
  <c r="R290" i="41"/>
  <c r="Q290" i="41"/>
  <c r="P290" i="41"/>
  <c r="O290" i="41"/>
  <c r="N290" i="41"/>
  <c r="M290" i="41"/>
  <c r="L290" i="41"/>
  <c r="K290" i="41"/>
  <c r="J290" i="41"/>
  <c r="I290" i="41"/>
  <c r="H290" i="41"/>
  <c r="G290" i="41"/>
  <c r="F290" i="41"/>
  <c r="E290" i="41"/>
  <c r="D290" i="41"/>
  <c r="C290" i="41"/>
  <c r="B290" i="41"/>
  <c r="J13" i="43"/>
  <c r="I13" i="43"/>
  <c r="G13" i="43"/>
  <c r="A207" i="41"/>
  <c r="A208" i="41"/>
  <c r="A209" i="41"/>
  <c r="A210" i="41"/>
  <c r="A211" i="41"/>
  <c r="A212" i="41"/>
  <c r="A213" i="41"/>
  <c r="A214" i="41"/>
  <c r="A215" i="41"/>
  <c r="A216" i="41"/>
  <c r="A217" i="41"/>
  <c r="A206" i="41"/>
  <c r="M219" i="41"/>
  <c r="L219" i="41"/>
  <c r="K219" i="41"/>
  <c r="I219" i="41"/>
  <c r="H219" i="41"/>
  <c r="G219" i="41"/>
  <c r="F219" i="41"/>
  <c r="E219" i="41"/>
  <c r="D219" i="41"/>
  <c r="C219" i="41"/>
  <c r="B219" i="41"/>
  <c r="M218" i="41"/>
  <c r="L218" i="41"/>
  <c r="K218" i="41"/>
  <c r="J218" i="41"/>
  <c r="I218" i="41"/>
  <c r="H218" i="41"/>
  <c r="G218" i="41"/>
  <c r="F218" i="41"/>
  <c r="E218" i="41"/>
  <c r="D218" i="41"/>
  <c r="C218" i="41"/>
  <c r="B218" i="41"/>
  <c r="B15" i="57" l="1"/>
  <c r="B14" i="57"/>
  <c r="B13" i="57"/>
  <c r="B12" i="57"/>
  <c r="B11" i="57"/>
  <c r="B10" i="57"/>
  <c r="B9" i="57"/>
  <c r="B8" i="57"/>
  <c r="B7" i="57"/>
  <c r="B6" i="57"/>
  <c r="B5" i="57"/>
  <c r="B4" i="57"/>
  <c r="E16" i="39" l="1"/>
  <c r="AH252" i="41" l="1"/>
  <c r="AG252" i="41"/>
  <c r="AF252" i="41"/>
  <c r="AE252" i="41"/>
  <c r="AD252" i="41"/>
  <c r="AC252" i="41"/>
  <c r="AB252" i="41"/>
  <c r="AA252" i="41"/>
  <c r="Z252" i="41"/>
  <c r="Y252" i="41"/>
  <c r="X252" i="41"/>
  <c r="W252" i="41"/>
  <c r="V252" i="41"/>
  <c r="U252" i="41"/>
  <c r="T252" i="41"/>
  <c r="S252" i="41"/>
  <c r="R252" i="41"/>
  <c r="Q252" i="41"/>
  <c r="P252" i="41"/>
  <c r="O252" i="41"/>
  <c r="N252" i="41"/>
  <c r="M270" i="41"/>
  <c r="L270" i="41"/>
  <c r="K270" i="41"/>
  <c r="J270" i="41"/>
  <c r="I270" i="41"/>
  <c r="H270" i="41"/>
  <c r="G270" i="41"/>
  <c r="F270" i="41"/>
  <c r="E270" i="41"/>
  <c r="D270" i="41"/>
  <c r="C270" i="41"/>
  <c r="B270" i="41"/>
  <c r="O64" i="39" l="1"/>
  <c r="S15" i="39" s="1"/>
  <c r="N64" i="39"/>
  <c r="S14" i="39" s="1"/>
  <c r="M64" i="39"/>
  <c r="S13" i="39" s="1"/>
  <c r="L64" i="39"/>
  <c r="S12" i="39" s="1"/>
  <c r="K64" i="39"/>
  <c r="S11" i="39" s="1"/>
  <c r="J64" i="39"/>
  <c r="S10" i="39" s="1"/>
  <c r="I64" i="39"/>
  <c r="S9" i="39" s="1"/>
  <c r="H64" i="39"/>
  <c r="S8" i="39" s="1"/>
  <c r="G64" i="39"/>
  <c r="S7" i="39" s="1"/>
  <c r="F64" i="39"/>
  <c r="S6" i="39" s="1"/>
  <c r="E64" i="39"/>
  <c r="S5" i="39" s="1"/>
  <c r="D64" i="39"/>
  <c r="P79" i="39"/>
  <c r="O33" i="39"/>
  <c r="R15" i="39" s="1"/>
  <c r="N33" i="39"/>
  <c r="R14" i="39" s="1"/>
  <c r="M33" i="39"/>
  <c r="R13" i="39" s="1"/>
  <c r="L33" i="39"/>
  <c r="R12" i="39" s="1"/>
  <c r="K33" i="39"/>
  <c r="R11" i="39" s="1"/>
  <c r="J33" i="39"/>
  <c r="R10" i="39" s="1"/>
  <c r="I33" i="39"/>
  <c r="R9" i="39" s="1"/>
  <c r="H33" i="39"/>
  <c r="R8" i="39" s="1"/>
  <c r="G33" i="39"/>
  <c r="R7" i="39" s="1"/>
  <c r="F33" i="39"/>
  <c r="R6" i="39" s="1"/>
  <c r="E33" i="39"/>
  <c r="D33" i="39"/>
  <c r="R4" i="39" s="1"/>
  <c r="P48" i="39"/>
  <c r="B169" i="57"/>
  <c r="R4" i="58"/>
  <c r="Q4" i="58"/>
  <c r="N168" i="41"/>
  <c r="O168" i="41" s="1"/>
  <c r="P64" i="39" l="1"/>
  <c r="S4" i="39"/>
  <c r="P33" i="39"/>
  <c r="R5" i="39"/>
  <c r="B1" i="49"/>
  <c r="B196" i="57" l="1"/>
  <c r="B197" i="57" l="1"/>
  <c r="J223" i="41"/>
  <c r="G16" i="39" l="1"/>
  <c r="B168" i="57" l="1"/>
  <c r="P78" i="39" l="1"/>
  <c r="O63" i="39"/>
  <c r="N63" i="39"/>
  <c r="M63" i="39"/>
  <c r="L63" i="39"/>
  <c r="K63" i="39"/>
  <c r="J63" i="39"/>
  <c r="I63" i="39"/>
  <c r="H63" i="39"/>
  <c r="G63" i="39"/>
  <c r="F63" i="39"/>
  <c r="E63" i="39"/>
  <c r="D63" i="39"/>
  <c r="P47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I117" i="41"/>
  <c r="I116" i="41"/>
  <c r="I115" i="41"/>
  <c r="I114" i="41"/>
  <c r="I113" i="41"/>
  <c r="I112" i="41"/>
  <c r="I111" i="41"/>
  <c r="I110" i="41"/>
  <c r="I109" i="41"/>
  <c r="I108" i="41"/>
  <c r="I107" i="41"/>
  <c r="I106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P63" i="39" l="1"/>
  <c r="P32" i="39"/>
  <c r="AA3" i="39" l="1"/>
  <c r="D9" i="59" l="1"/>
  <c r="C9" i="59" l="1"/>
  <c r="F2" i="59" l="1"/>
  <c r="F2" i="54"/>
  <c r="D7" i="59"/>
  <c r="L16" i="39" l="1"/>
  <c r="N166" i="41" l="1"/>
  <c r="B1" i="50" l="1"/>
  <c r="B1" i="51"/>
  <c r="I4" i="59"/>
  <c r="G4" i="59"/>
  <c r="I4" i="54"/>
  <c r="G4" i="54"/>
  <c r="I4" i="53"/>
  <c r="G4" i="53"/>
  <c r="I4" i="52"/>
  <c r="G4" i="52"/>
  <c r="I4" i="51"/>
  <c r="G4" i="51"/>
  <c r="I4" i="50"/>
  <c r="G4" i="50"/>
  <c r="I4" i="49"/>
  <c r="G4" i="49"/>
  <c r="I4" i="48"/>
  <c r="G4" i="48"/>
  <c r="I4" i="47"/>
  <c r="G4" i="47"/>
  <c r="I4" i="46"/>
  <c r="G4" i="46"/>
  <c r="I4" i="45"/>
  <c r="G4" i="45"/>
  <c r="I4" i="44"/>
  <c r="G4" i="44"/>
  <c r="I4" i="43"/>
  <c r="G4" i="43"/>
  <c r="B1" i="59"/>
  <c r="B1" i="54"/>
  <c r="B1" i="53"/>
  <c r="B1" i="52"/>
  <c r="B1" i="48"/>
  <c r="B1" i="47"/>
  <c r="B1" i="46"/>
  <c r="B1" i="45"/>
  <c r="B1" i="44"/>
  <c r="B2" i="59"/>
  <c r="B2" i="54"/>
  <c r="B2" i="53"/>
  <c r="B2" i="52"/>
  <c r="B2" i="51"/>
  <c r="B2" i="50"/>
  <c r="B2" i="49"/>
  <c r="B2" i="48"/>
  <c r="B2" i="47"/>
  <c r="B2" i="46"/>
  <c r="B2" i="45"/>
  <c r="B2" i="43"/>
  <c r="B1" i="43"/>
  <c r="F2" i="43"/>
  <c r="F2" i="44"/>
  <c r="B167" i="57" l="1"/>
  <c r="A49" i="57" l="1"/>
  <c r="A86" i="57" s="1"/>
  <c r="A102" i="57" s="1"/>
  <c r="A139" i="57" s="1"/>
  <c r="A155" i="57" s="1"/>
  <c r="A214" i="57" s="1"/>
  <c r="A230" i="57" s="1"/>
  <c r="A48" i="57"/>
  <c r="A85" i="57" s="1"/>
  <c r="A101" i="57" s="1"/>
  <c r="A138" i="57" s="1"/>
  <c r="A154" i="57" s="1"/>
  <c r="A213" i="57" s="1"/>
  <c r="A229" i="57" s="1"/>
  <c r="A47" i="57"/>
  <c r="A84" i="57" s="1"/>
  <c r="A100" i="57" s="1"/>
  <c r="A137" i="57" s="1"/>
  <c r="A153" i="57" s="1"/>
  <c r="A212" i="57" s="1"/>
  <c r="A228" i="57" s="1"/>
  <c r="A46" i="57"/>
  <c r="A83" i="57" s="1"/>
  <c r="A99" i="57" s="1"/>
  <c r="A136" i="57" s="1"/>
  <c r="A152" i="57" s="1"/>
  <c r="A211" i="57" s="1"/>
  <c r="A227" i="57" s="1"/>
  <c r="A45" i="57"/>
  <c r="A82" i="57" s="1"/>
  <c r="A98" i="57" s="1"/>
  <c r="A135" i="57" s="1"/>
  <c r="A151" i="57" s="1"/>
  <c r="A210" i="57" s="1"/>
  <c r="A226" i="57" s="1"/>
  <c r="A44" i="57"/>
  <c r="A81" i="57" s="1"/>
  <c r="A97" i="57" s="1"/>
  <c r="A134" i="57" s="1"/>
  <c r="A150" i="57" s="1"/>
  <c r="A209" i="57" s="1"/>
  <c r="A225" i="57" s="1"/>
  <c r="A43" i="57"/>
  <c r="A80" i="57" s="1"/>
  <c r="A96" i="57" s="1"/>
  <c r="A133" i="57" s="1"/>
  <c r="A149" i="57" s="1"/>
  <c r="A208" i="57" s="1"/>
  <c r="A224" i="57" s="1"/>
  <c r="A42" i="57"/>
  <c r="A79" i="57" s="1"/>
  <c r="A95" i="57" s="1"/>
  <c r="A132" i="57" s="1"/>
  <c r="A148" i="57" s="1"/>
  <c r="A207" i="57" s="1"/>
  <c r="A223" i="57" s="1"/>
  <c r="A41" i="57"/>
  <c r="A78" i="57" s="1"/>
  <c r="A94" i="57" s="1"/>
  <c r="A131" i="57" s="1"/>
  <c r="A147" i="57" s="1"/>
  <c r="A206" i="57" s="1"/>
  <c r="A222" i="57" s="1"/>
  <c r="A40" i="57"/>
  <c r="A77" i="57" s="1"/>
  <c r="A93" i="57" s="1"/>
  <c r="A130" i="57" s="1"/>
  <c r="A146" i="57" s="1"/>
  <c r="A205" i="57" s="1"/>
  <c r="A221" i="57" s="1"/>
  <c r="A39" i="57"/>
  <c r="A76" i="57" s="1"/>
  <c r="A92" i="57" s="1"/>
  <c r="A129" i="57" s="1"/>
  <c r="A145" i="57" s="1"/>
  <c r="A204" i="57" s="1"/>
  <c r="A220" i="57" s="1"/>
  <c r="A38" i="57"/>
  <c r="A75" i="57" s="1"/>
  <c r="A91" i="57" s="1"/>
  <c r="A128" i="57" s="1"/>
  <c r="A144" i="57" s="1"/>
  <c r="A203" i="57" s="1"/>
  <c r="A219" i="57" s="1"/>
  <c r="D68" i="57"/>
  <c r="A68" i="57" s="1"/>
  <c r="A120" i="57" s="1"/>
  <c r="A195" i="57" s="1"/>
  <c r="D67" i="57"/>
  <c r="A67" i="57" s="1"/>
  <c r="A119" i="57" s="1"/>
  <c r="A194" i="57" s="1"/>
  <c r="D66" i="57"/>
  <c r="A66" i="57" s="1"/>
  <c r="A118" i="57" s="1"/>
  <c r="A193" i="57" s="1"/>
  <c r="D65" i="57"/>
  <c r="A65" i="57" s="1"/>
  <c r="A117" i="57" s="1"/>
  <c r="A192" i="57" s="1"/>
  <c r="D64" i="57"/>
  <c r="A64" i="57" s="1"/>
  <c r="A116" i="57" s="1"/>
  <c r="A191" i="57" s="1"/>
  <c r="D63" i="57"/>
  <c r="A63" i="57" s="1"/>
  <c r="A115" i="57" s="1"/>
  <c r="A190" i="57" s="1"/>
  <c r="D62" i="57"/>
  <c r="A62" i="57" s="1"/>
  <c r="A114" i="57" s="1"/>
  <c r="A189" i="57" s="1"/>
  <c r="D61" i="57"/>
  <c r="A61" i="57" s="1"/>
  <c r="A113" i="57" s="1"/>
  <c r="A188" i="57" s="1"/>
  <c r="D60" i="57"/>
  <c r="A60" i="57" s="1"/>
  <c r="A112" i="57" s="1"/>
  <c r="A187" i="57" s="1"/>
  <c r="D59" i="57"/>
  <c r="A59" i="57" s="1"/>
  <c r="A111" i="57" s="1"/>
  <c r="A186" i="57" s="1"/>
  <c r="D58" i="57"/>
  <c r="A58" i="57" s="1"/>
  <c r="A110" i="57" s="1"/>
  <c r="A185" i="57" s="1"/>
  <c r="D57" i="57"/>
  <c r="A57" i="57" s="1"/>
  <c r="A109" i="57" s="1"/>
  <c r="A184" i="57" s="1"/>
  <c r="D56" i="57"/>
  <c r="A56" i="57" s="1"/>
  <c r="A108" i="57" s="1"/>
  <c r="A183" i="57" s="1"/>
  <c r="A15" i="57"/>
  <c r="A14" i="57"/>
  <c r="A13" i="57"/>
  <c r="A12" i="57"/>
  <c r="A11" i="57"/>
  <c r="A10" i="57"/>
  <c r="A9" i="57"/>
  <c r="A8" i="57"/>
  <c r="A7" i="57"/>
  <c r="A6" i="57"/>
  <c r="A5" i="57"/>
  <c r="A4" i="57"/>
  <c r="A3" i="57"/>
  <c r="A84" i="41" l="1"/>
  <c r="A83" i="41"/>
  <c r="A82" i="41"/>
  <c r="A81" i="41"/>
  <c r="A80" i="41"/>
  <c r="A79" i="41"/>
  <c r="A78" i="41"/>
  <c r="A77" i="41"/>
  <c r="A76" i="41"/>
  <c r="A75" i="41"/>
  <c r="A74" i="41"/>
  <c r="A73" i="41"/>
  <c r="O166" i="41"/>
  <c r="AI117" i="41"/>
  <c r="AI116" i="41"/>
  <c r="AI115" i="41"/>
  <c r="AI114" i="41"/>
  <c r="AI113" i="41"/>
  <c r="AI112" i="41"/>
  <c r="AI111" i="41"/>
  <c r="AI110" i="41"/>
  <c r="AI109" i="41"/>
  <c r="AI108" i="41"/>
  <c r="AI107" i="41"/>
  <c r="AI106" i="41"/>
  <c r="AH118" i="41"/>
  <c r="AG118" i="41"/>
  <c r="AF118" i="41"/>
  <c r="AE118" i="41"/>
  <c r="AD118" i="41"/>
  <c r="AC118" i="41"/>
  <c r="I118" i="41" s="1"/>
  <c r="AB118" i="41"/>
  <c r="AA118" i="41"/>
  <c r="Z118" i="41"/>
  <c r="Y118" i="41"/>
  <c r="X118" i="41"/>
  <c r="W118" i="41"/>
  <c r="V118" i="41"/>
  <c r="U118" i="41"/>
  <c r="T118" i="41"/>
  <c r="S118" i="41"/>
  <c r="R118" i="41"/>
  <c r="Q118" i="41"/>
  <c r="G118" i="41" l="1"/>
  <c r="AI118" i="41"/>
  <c r="A100" i="41"/>
  <c r="A136" i="41" s="1"/>
  <c r="A152" i="41" s="1"/>
  <c r="A98" i="41"/>
  <c r="A134" i="41" s="1"/>
  <c r="A150" i="41" s="1"/>
  <c r="A92" i="41"/>
  <c r="A128" i="41" s="1"/>
  <c r="A144" i="41" s="1"/>
  <c r="A90" i="41"/>
  <c r="A126" i="41" s="1"/>
  <c r="A142" i="41" s="1"/>
  <c r="A99" i="41"/>
  <c r="A135" i="41" s="1"/>
  <c r="A151" i="41" s="1"/>
  <c r="A97" i="41"/>
  <c r="A133" i="41" s="1"/>
  <c r="A149" i="41" s="1"/>
  <c r="A96" i="41"/>
  <c r="A132" i="41" s="1"/>
  <c r="A148" i="41" s="1"/>
  <c r="A95" i="41"/>
  <c r="A131" i="41" s="1"/>
  <c r="A147" i="41" s="1"/>
  <c r="A94" i="41"/>
  <c r="A130" i="41" s="1"/>
  <c r="A146" i="41" s="1"/>
  <c r="A93" i="41"/>
  <c r="A129" i="41" s="1"/>
  <c r="A145" i="41" s="1"/>
  <c r="A91" i="41"/>
  <c r="A127" i="41" s="1"/>
  <c r="A143" i="41" s="1"/>
  <c r="A89" i="41"/>
  <c r="A125" i="41" s="1"/>
  <c r="A141" i="41" s="1"/>
  <c r="P66" i="41"/>
  <c r="P117" i="41" s="1"/>
  <c r="A117" i="41" s="1"/>
  <c r="P65" i="41"/>
  <c r="A65" i="41" s="1"/>
  <c r="P64" i="41"/>
  <c r="A64" i="41" s="1"/>
  <c r="P63" i="41"/>
  <c r="A63" i="41" s="1"/>
  <c r="P62" i="41"/>
  <c r="A62" i="41" s="1"/>
  <c r="P61" i="41"/>
  <c r="A61" i="41" s="1"/>
  <c r="P60" i="41"/>
  <c r="A60" i="41" s="1"/>
  <c r="P59" i="41"/>
  <c r="A59" i="41" s="1"/>
  <c r="P58" i="41"/>
  <c r="P109" i="41" s="1"/>
  <c r="A109" i="41" s="1"/>
  <c r="P57" i="41"/>
  <c r="A57" i="41" s="1"/>
  <c r="P56" i="41"/>
  <c r="P107" i="41" s="1"/>
  <c r="A107" i="41" s="1"/>
  <c r="P55" i="41"/>
  <c r="A55" i="41" s="1"/>
  <c r="A48" i="41"/>
  <c r="A47" i="41"/>
  <c r="A46" i="41"/>
  <c r="A45" i="41"/>
  <c r="A44" i="41"/>
  <c r="A43" i="41"/>
  <c r="A42" i="41"/>
  <c r="A41" i="41"/>
  <c r="A40" i="41"/>
  <c r="A39" i="41"/>
  <c r="A38" i="41"/>
  <c r="A37" i="41"/>
  <c r="A14" i="41"/>
  <c r="A13" i="41"/>
  <c r="A12" i="41"/>
  <c r="A11" i="41"/>
  <c r="A10" i="41"/>
  <c r="A9" i="41"/>
  <c r="A8" i="41"/>
  <c r="A7" i="41"/>
  <c r="A6" i="41"/>
  <c r="A5" i="41"/>
  <c r="A4" i="41"/>
  <c r="A3" i="41"/>
  <c r="O62" i="39"/>
  <c r="N62" i="39"/>
  <c r="M62" i="39"/>
  <c r="L62" i="39"/>
  <c r="K62" i="39"/>
  <c r="J62" i="39"/>
  <c r="I62" i="39"/>
  <c r="H62" i="39"/>
  <c r="G62" i="39"/>
  <c r="F62" i="39"/>
  <c r="E62" i="39"/>
  <c r="D62" i="39"/>
  <c r="P77" i="39"/>
  <c r="P46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N15" i="39"/>
  <c r="N14" i="39"/>
  <c r="N13" i="39"/>
  <c r="N12" i="39"/>
  <c r="N11" i="39"/>
  <c r="N10" i="39"/>
  <c r="N9" i="39"/>
  <c r="N8" i="39"/>
  <c r="N7" i="39"/>
  <c r="N6" i="39"/>
  <c r="N5" i="39"/>
  <c r="N4" i="39"/>
  <c r="P31" i="39" l="1"/>
  <c r="A56" i="41"/>
  <c r="A190" i="41"/>
  <c r="A227" i="41"/>
  <c r="A243" i="41" s="1"/>
  <c r="A191" i="41"/>
  <c r="A228" i="41"/>
  <c r="A244" i="41" s="1"/>
  <c r="A196" i="41"/>
  <c r="A233" i="41"/>
  <c r="A249" i="41" s="1"/>
  <c r="A192" i="41"/>
  <c r="A229" i="41"/>
  <c r="A245" i="41" s="1"/>
  <c r="A198" i="41"/>
  <c r="A235" i="41"/>
  <c r="A251" i="41" s="1"/>
  <c r="A197" i="41"/>
  <c r="A234" i="41"/>
  <c r="A250" i="41" s="1"/>
  <c r="A193" i="41"/>
  <c r="A230" i="41"/>
  <c r="A246" i="41" s="1"/>
  <c r="P106" i="41"/>
  <c r="A106" i="41" s="1"/>
  <c r="A194" i="41"/>
  <c r="A231" i="41"/>
  <c r="A247" i="41" s="1"/>
  <c r="P114" i="41"/>
  <c r="A114" i="41" s="1"/>
  <c r="A195" i="41"/>
  <c r="A232" i="41"/>
  <c r="A248" i="41" s="1"/>
  <c r="A189" i="41"/>
  <c r="A226" i="41"/>
  <c r="A242" i="41" s="1"/>
  <c r="A188" i="41"/>
  <c r="A225" i="41"/>
  <c r="A241" i="41" s="1"/>
  <c r="A187" i="41"/>
  <c r="A224" i="41"/>
  <c r="A240" i="41" s="1"/>
  <c r="A58" i="41"/>
  <c r="P115" i="41"/>
  <c r="A115" i="41" s="1"/>
  <c r="P108" i="41"/>
  <c r="A108" i="41" s="1"/>
  <c r="P116" i="41"/>
  <c r="A116" i="41" s="1"/>
  <c r="A66" i="41"/>
  <c r="P110" i="41"/>
  <c r="A110" i="41" s="1"/>
  <c r="P111" i="41"/>
  <c r="A111" i="41" s="1"/>
  <c r="P112" i="41"/>
  <c r="A112" i="41" s="1"/>
  <c r="P113" i="41"/>
  <c r="A113" i="41" s="1"/>
  <c r="P62" i="39"/>
  <c r="I11" i="59" l="1"/>
  <c r="G11" i="59"/>
  <c r="D13" i="59"/>
  <c r="I9" i="59"/>
  <c r="G9" i="59"/>
  <c r="D4" i="59"/>
  <c r="D3" i="59"/>
  <c r="S4" i="58"/>
  <c r="D14" i="59" s="1"/>
  <c r="N4" i="58"/>
  <c r="D12" i="59" s="1"/>
  <c r="M4" i="58"/>
  <c r="D11" i="59" s="1"/>
  <c r="G4" i="58"/>
  <c r="D5" i="59" s="1"/>
  <c r="B230" i="57"/>
  <c r="B229" i="57"/>
  <c r="B228" i="57"/>
  <c r="B227" i="57"/>
  <c r="B226" i="57"/>
  <c r="B225" i="57"/>
  <c r="B224" i="57"/>
  <c r="B223" i="57"/>
  <c r="B222" i="57"/>
  <c r="B221" i="57"/>
  <c r="B220" i="57"/>
  <c r="B219" i="57"/>
  <c r="B211" i="57"/>
  <c r="B166" i="57"/>
  <c r="B165" i="57"/>
  <c r="B164" i="57"/>
  <c r="B163" i="57"/>
  <c r="B162" i="57"/>
  <c r="B161" i="57"/>
  <c r="B160" i="57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C123" i="57"/>
  <c r="B122" i="57"/>
  <c r="B137" i="57" s="1"/>
  <c r="B121" i="57"/>
  <c r="E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E16" i="57"/>
  <c r="B3" i="57"/>
  <c r="B97" i="57" l="1"/>
  <c r="B47" i="57"/>
  <c r="B39" i="57"/>
  <c r="B206" i="57"/>
  <c r="B208" i="57"/>
  <c r="B214" i="57"/>
  <c r="J11" i="59"/>
  <c r="J9" i="59"/>
  <c r="B99" i="57"/>
  <c r="B94" i="57"/>
  <c r="B96" i="57"/>
  <c r="B98" i="57"/>
  <c r="B93" i="57"/>
  <c r="B101" i="57"/>
  <c r="B95" i="57"/>
  <c r="B102" i="57"/>
  <c r="B91" i="57"/>
  <c r="B17" i="57"/>
  <c r="J5" i="59" s="1"/>
  <c r="B48" i="57"/>
  <c r="B46" i="57"/>
  <c r="B43" i="57"/>
  <c r="B44" i="57"/>
  <c r="B45" i="57"/>
  <c r="B40" i="57"/>
  <c r="B41" i="57"/>
  <c r="B49" i="57"/>
  <c r="B92" i="57"/>
  <c r="B100" i="57"/>
  <c r="B130" i="57"/>
  <c r="B138" i="57"/>
  <c r="B204" i="57"/>
  <c r="B212" i="57"/>
  <c r="B70" i="57"/>
  <c r="B131" i="57"/>
  <c r="B139" i="57"/>
  <c r="B205" i="57"/>
  <c r="B213" i="57"/>
  <c r="B42" i="57"/>
  <c r="B132" i="57"/>
  <c r="B133" i="57"/>
  <c r="B207" i="57"/>
  <c r="B16" i="57"/>
  <c r="B38" i="57"/>
  <c r="B135" i="57"/>
  <c r="B209" i="57"/>
  <c r="B134" i="57"/>
  <c r="B128" i="57"/>
  <c r="B136" i="57"/>
  <c r="B210" i="57"/>
  <c r="B69" i="57"/>
  <c r="B129" i="57"/>
  <c r="B203" i="57"/>
  <c r="B33" i="57" l="1"/>
  <c r="B26" i="57"/>
  <c r="B22" i="57"/>
  <c r="B80" i="57"/>
  <c r="J7" i="59"/>
  <c r="I7" i="59"/>
  <c r="G7" i="59"/>
  <c r="B25" i="57"/>
  <c r="B28" i="57"/>
  <c r="B32" i="57"/>
  <c r="B29" i="57"/>
  <c r="B31" i="57"/>
  <c r="B23" i="57"/>
  <c r="B27" i="57"/>
  <c r="B30" i="57"/>
  <c r="B24" i="57"/>
  <c r="I5" i="59"/>
  <c r="G5" i="59"/>
  <c r="B140" i="57"/>
  <c r="B85" i="57"/>
  <c r="B79" i="57"/>
  <c r="B77" i="57"/>
  <c r="B83" i="57"/>
  <c r="B75" i="57"/>
  <c r="B215" i="57"/>
  <c r="B86" i="57"/>
  <c r="B76" i="57"/>
  <c r="B50" i="57"/>
  <c r="B78" i="57"/>
  <c r="B84" i="57"/>
  <c r="B82" i="57"/>
  <c r="B81" i="57"/>
  <c r="B34" i="57" l="1"/>
  <c r="B87" i="57"/>
  <c r="M199" i="41" l="1"/>
  <c r="L199" i="41"/>
  <c r="K199" i="41"/>
  <c r="J199" i="41"/>
  <c r="I199" i="41"/>
  <c r="H199" i="41"/>
  <c r="G199" i="41"/>
  <c r="F199" i="41"/>
  <c r="E199" i="41"/>
  <c r="D199" i="41"/>
  <c r="C199" i="41"/>
  <c r="B199" i="41"/>
  <c r="F2" i="53" l="1"/>
  <c r="F2" i="52"/>
  <c r="F2" i="51"/>
  <c r="F2" i="50"/>
  <c r="F2" i="49"/>
  <c r="F2" i="48"/>
  <c r="F2" i="47"/>
  <c r="F2" i="46"/>
  <c r="F2" i="45"/>
  <c r="N165" i="41" l="1"/>
  <c r="O165" i="41" s="1"/>
  <c r="M117" i="41" l="1"/>
  <c r="L117" i="41"/>
  <c r="K117" i="41"/>
  <c r="J117" i="41"/>
  <c r="H117" i="41"/>
  <c r="F117" i="41"/>
  <c r="E117" i="41"/>
  <c r="D117" i="41"/>
  <c r="C117" i="41"/>
  <c r="B117" i="41"/>
  <c r="M116" i="41"/>
  <c r="L116" i="41"/>
  <c r="K116" i="41"/>
  <c r="J116" i="41"/>
  <c r="H116" i="41"/>
  <c r="F116" i="41"/>
  <c r="E116" i="41"/>
  <c r="D116" i="41"/>
  <c r="C116" i="41"/>
  <c r="B116" i="41"/>
  <c r="M115" i="41"/>
  <c r="L115" i="41"/>
  <c r="K115" i="41"/>
  <c r="J115" i="41"/>
  <c r="H115" i="41"/>
  <c r="F115" i="41"/>
  <c r="E115" i="41"/>
  <c r="D115" i="41"/>
  <c r="C115" i="41"/>
  <c r="B115" i="41"/>
  <c r="M114" i="41"/>
  <c r="L114" i="41"/>
  <c r="K114" i="41"/>
  <c r="J114" i="41"/>
  <c r="H114" i="41"/>
  <c r="F114" i="41"/>
  <c r="E114" i="41"/>
  <c r="D114" i="41"/>
  <c r="C114" i="41"/>
  <c r="B114" i="41"/>
  <c r="M113" i="41"/>
  <c r="L113" i="41"/>
  <c r="K113" i="41"/>
  <c r="J113" i="41"/>
  <c r="H113" i="41"/>
  <c r="F113" i="41"/>
  <c r="E113" i="41"/>
  <c r="D113" i="41"/>
  <c r="C113" i="41"/>
  <c r="B113" i="41"/>
  <c r="M112" i="41"/>
  <c r="L112" i="41"/>
  <c r="K112" i="41"/>
  <c r="J112" i="41"/>
  <c r="H112" i="41"/>
  <c r="F112" i="41"/>
  <c r="E112" i="41"/>
  <c r="D112" i="41"/>
  <c r="C112" i="41"/>
  <c r="B112" i="41"/>
  <c r="M111" i="41"/>
  <c r="L111" i="41"/>
  <c r="K111" i="41"/>
  <c r="J111" i="41"/>
  <c r="H111" i="41"/>
  <c r="F111" i="41"/>
  <c r="E111" i="41"/>
  <c r="D111" i="41"/>
  <c r="C111" i="41"/>
  <c r="B111" i="41"/>
  <c r="M110" i="41"/>
  <c r="L110" i="41"/>
  <c r="K110" i="41"/>
  <c r="J110" i="41"/>
  <c r="H110" i="41"/>
  <c r="F110" i="41"/>
  <c r="E110" i="41"/>
  <c r="D110" i="41"/>
  <c r="C110" i="41"/>
  <c r="B110" i="41"/>
  <c r="M109" i="41"/>
  <c r="L109" i="41"/>
  <c r="K109" i="41"/>
  <c r="J109" i="41"/>
  <c r="H109" i="41"/>
  <c r="F109" i="41"/>
  <c r="E109" i="41"/>
  <c r="D109" i="41"/>
  <c r="C109" i="41"/>
  <c r="B109" i="41"/>
  <c r="M108" i="41"/>
  <c r="L108" i="41"/>
  <c r="K108" i="41"/>
  <c r="J108" i="41"/>
  <c r="H108" i="41"/>
  <c r="F108" i="41"/>
  <c r="E108" i="41"/>
  <c r="D108" i="41"/>
  <c r="C108" i="41"/>
  <c r="B108" i="41"/>
  <c r="M107" i="41"/>
  <c r="L107" i="41"/>
  <c r="K107" i="41"/>
  <c r="J107" i="41"/>
  <c r="H107" i="41"/>
  <c r="F107" i="41"/>
  <c r="E107" i="41"/>
  <c r="D107" i="41"/>
  <c r="C107" i="41"/>
  <c r="B107" i="41"/>
  <c r="M106" i="41"/>
  <c r="L106" i="41"/>
  <c r="K106" i="41"/>
  <c r="J106" i="41"/>
  <c r="H106" i="41"/>
  <c r="F106" i="41"/>
  <c r="E106" i="41"/>
  <c r="D106" i="41"/>
  <c r="C106" i="41"/>
  <c r="B106" i="41"/>
  <c r="P76" i="39" l="1"/>
  <c r="O61" i="39"/>
  <c r="T15" i="39" s="1"/>
  <c r="N61" i="39"/>
  <c r="T14" i="39" s="1"/>
  <c r="M61" i="39"/>
  <c r="T13" i="39" s="1"/>
  <c r="L61" i="39"/>
  <c r="T12" i="39" s="1"/>
  <c r="K61" i="39"/>
  <c r="T11" i="39" s="1"/>
  <c r="J61" i="39"/>
  <c r="T10" i="39" s="1"/>
  <c r="I61" i="39"/>
  <c r="T9" i="39" s="1"/>
  <c r="H61" i="39"/>
  <c r="T8" i="39" s="1"/>
  <c r="G61" i="39"/>
  <c r="T7" i="39" s="1"/>
  <c r="F61" i="39"/>
  <c r="T6" i="39" s="1"/>
  <c r="E61" i="39"/>
  <c r="T5" i="39" s="1"/>
  <c r="D61" i="39"/>
  <c r="T4" i="39" s="1"/>
  <c r="P45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P30" i="39" l="1"/>
  <c r="P61" i="39"/>
  <c r="C4" i="43" l="1"/>
  <c r="D10" i="54" l="1"/>
  <c r="D10" i="47"/>
  <c r="I11" i="54"/>
  <c r="G11" i="54"/>
  <c r="I9" i="54"/>
  <c r="G9" i="54"/>
  <c r="D11" i="54"/>
  <c r="D4" i="54"/>
  <c r="D3" i="54"/>
  <c r="I11" i="53"/>
  <c r="G11" i="53"/>
  <c r="I9" i="53"/>
  <c r="G9" i="53"/>
  <c r="D11" i="53"/>
  <c r="D10" i="53"/>
  <c r="D4" i="53"/>
  <c r="D3" i="53"/>
  <c r="I11" i="52"/>
  <c r="G11" i="52"/>
  <c r="I9" i="52"/>
  <c r="G9" i="52"/>
  <c r="D11" i="52"/>
  <c r="D10" i="52"/>
  <c r="D4" i="52"/>
  <c r="D3" i="52"/>
  <c r="K200" i="41"/>
  <c r="J11" i="52" s="1"/>
  <c r="J119" i="41"/>
  <c r="J9" i="51" s="1"/>
  <c r="I9" i="51"/>
  <c r="G9" i="51"/>
  <c r="J55" i="41"/>
  <c r="J56" i="41"/>
  <c r="J57" i="41"/>
  <c r="J58" i="41"/>
  <c r="J59" i="41"/>
  <c r="J60" i="41"/>
  <c r="J61" i="41"/>
  <c r="J62" i="41"/>
  <c r="J97" i="41" s="1"/>
  <c r="J63" i="41"/>
  <c r="J64" i="41"/>
  <c r="J65" i="41"/>
  <c r="J66" i="41"/>
  <c r="J3" i="41"/>
  <c r="J4" i="41"/>
  <c r="J5" i="41"/>
  <c r="J6" i="41"/>
  <c r="J41" i="41" s="1"/>
  <c r="J7" i="41"/>
  <c r="J8" i="41"/>
  <c r="J9" i="41"/>
  <c r="J10" i="41"/>
  <c r="J11" i="41"/>
  <c r="J12" i="41"/>
  <c r="J13" i="41"/>
  <c r="J14" i="41"/>
  <c r="D11" i="51"/>
  <c r="D4" i="51"/>
  <c r="D3" i="51"/>
  <c r="I200" i="41"/>
  <c r="J11" i="50" s="1"/>
  <c r="I11" i="50"/>
  <c r="G11" i="50"/>
  <c r="I119" i="41"/>
  <c r="J9" i="50" s="1"/>
  <c r="I9" i="50"/>
  <c r="G9" i="50"/>
  <c r="I55" i="41"/>
  <c r="I56" i="41"/>
  <c r="I57" i="41"/>
  <c r="I58" i="41"/>
  <c r="I59" i="41"/>
  <c r="I60" i="41"/>
  <c r="I61" i="41"/>
  <c r="I96" i="41" s="1"/>
  <c r="I62" i="41"/>
  <c r="I63" i="41"/>
  <c r="I64" i="41"/>
  <c r="I65" i="41"/>
  <c r="I66" i="41"/>
  <c r="I3" i="41"/>
  <c r="I4" i="41"/>
  <c r="I5" i="41"/>
  <c r="I40" i="41" s="1"/>
  <c r="I6" i="41"/>
  <c r="I7" i="41"/>
  <c r="I8" i="41"/>
  <c r="I9" i="41"/>
  <c r="I10" i="41"/>
  <c r="I44" i="41" s="1"/>
  <c r="I11" i="41"/>
  <c r="I12" i="41"/>
  <c r="I13" i="41"/>
  <c r="I48" i="41" s="1"/>
  <c r="I14" i="41"/>
  <c r="D11" i="50"/>
  <c r="D10" i="50"/>
  <c r="D4" i="50"/>
  <c r="D3" i="50"/>
  <c r="H200" i="41"/>
  <c r="J11" i="49" s="1"/>
  <c r="I11" i="49"/>
  <c r="G11" i="49"/>
  <c r="H119" i="41"/>
  <c r="J9" i="49" s="1"/>
  <c r="I9" i="49"/>
  <c r="G9" i="49"/>
  <c r="H55" i="41"/>
  <c r="H56" i="41"/>
  <c r="H57" i="41"/>
  <c r="H58" i="41"/>
  <c r="H93" i="41" s="1"/>
  <c r="H59" i="41"/>
  <c r="H60" i="41"/>
  <c r="H61" i="41"/>
  <c r="H62" i="41"/>
  <c r="H63" i="41"/>
  <c r="H64" i="41"/>
  <c r="H65" i="41"/>
  <c r="H66" i="41"/>
  <c r="H3" i="41"/>
  <c r="H4" i="41"/>
  <c r="H5" i="41"/>
  <c r="H6" i="41"/>
  <c r="H7" i="41"/>
  <c r="H8" i="41"/>
  <c r="H9" i="41"/>
  <c r="H10" i="41"/>
  <c r="H45" i="41" s="1"/>
  <c r="H11" i="41"/>
  <c r="H12" i="41"/>
  <c r="H13" i="41"/>
  <c r="H14" i="41"/>
  <c r="D11" i="49"/>
  <c r="D10" i="49"/>
  <c r="D4" i="49"/>
  <c r="D3" i="49"/>
  <c r="G200" i="41"/>
  <c r="J11" i="48" s="1"/>
  <c r="I11" i="48"/>
  <c r="G11" i="48"/>
  <c r="G119" i="41"/>
  <c r="J9" i="48" s="1"/>
  <c r="I9" i="48"/>
  <c r="G9" i="48"/>
  <c r="G55" i="41"/>
  <c r="G90" i="41" s="1"/>
  <c r="G56" i="41"/>
  <c r="G57" i="41"/>
  <c r="G58" i="41"/>
  <c r="G59" i="41"/>
  <c r="G60" i="41"/>
  <c r="G61" i="41"/>
  <c r="G62" i="41"/>
  <c r="G63" i="41"/>
  <c r="G98" i="41" s="1"/>
  <c r="G64" i="41"/>
  <c r="G65" i="41"/>
  <c r="G66" i="41"/>
  <c r="G3" i="41"/>
  <c r="G4" i="41"/>
  <c r="G5" i="41"/>
  <c r="G6" i="41"/>
  <c r="G7" i="41"/>
  <c r="G42" i="41" s="1"/>
  <c r="G8" i="41"/>
  <c r="G9" i="41"/>
  <c r="G10" i="41"/>
  <c r="G11" i="41"/>
  <c r="G12" i="41"/>
  <c r="G13" i="41"/>
  <c r="G14" i="41"/>
  <c r="D11" i="48"/>
  <c r="D10" i="48"/>
  <c r="D4" i="48"/>
  <c r="D3" i="48"/>
  <c r="F200" i="41"/>
  <c r="F229" i="41" s="1"/>
  <c r="I11" i="47"/>
  <c r="G11" i="47"/>
  <c r="F119" i="41"/>
  <c r="J9" i="47" s="1"/>
  <c r="I9" i="47"/>
  <c r="G9" i="47"/>
  <c r="F55" i="41"/>
  <c r="F56" i="41"/>
  <c r="F57" i="41"/>
  <c r="F58" i="41"/>
  <c r="F59" i="41"/>
  <c r="F60" i="41"/>
  <c r="F95" i="41" s="1"/>
  <c r="F61" i="41"/>
  <c r="F62" i="41"/>
  <c r="F63" i="41"/>
  <c r="F64" i="41"/>
  <c r="F65" i="41"/>
  <c r="F66" i="41"/>
  <c r="F3" i="41"/>
  <c r="F4" i="41"/>
  <c r="F39" i="41" s="1"/>
  <c r="F5" i="41"/>
  <c r="F6" i="41"/>
  <c r="F7" i="41"/>
  <c r="F8" i="41"/>
  <c r="F9" i="41"/>
  <c r="F10" i="41"/>
  <c r="F11" i="41"/>
  <c r="F12" i="41"/>
  <c r="F47" i="41" s="1"/>
  <c r="F13" i="41"/>
  <c r="F14" i="41"/>
  <c r="D11" i="47"/>
  <c r="D4" i="47"/>
  <c r="D4" i="45"/>
  <c r="D3" i="47"/>
  <c r="D3" i="46"/>
  <c r="D4" i="46"/>
  <c r="E200" i="41"/>
  <c r="I11" i="46"/>
  <c r="E119" i="41"/>
  <c r="E129" i="41" s="1"/>
  <c r="I9" i="46"/>
  <c r="E55" i="41"/>
  <c r="E56" i="41"/>
  <c r="E57" i="41"/>
  <c r="E58" i="41"/>
  <c r="E59" i="41"/>
  <c r="E60" i="41"/>
  <c r="E61" i="41"/>
  <c r="E62" i="41"/>
  <c r="E63" i="41"/>
  <c r="E64" i="41"/>
  <c r="E65" i="41"/>
  <c r="E66" i="41"/>
  <c r="E3" i="41"/>
  <c r="E4" i="41"/>
  <c r="E5" i="41"/>
  <c r="E6" i="41"/>
  <c r="E7" i="41"/>
  <c r="E8" i="41"/>
  <c r="E9" i="41"/>
  <c r="E10" i="41"/>
  <c r="E11" i="41"/>
  <c r="E12" i="41"/>
  <c r="E13" i="41"/>
  <c r="E14" i="41"/>
  <c r="D11" i="43"/>
  <c r="D10" i="43"/>
  <c r="D10" i="45"/>
  <c r="G11" i="46"/>
  <c r="G9" i="46"/>
  <c r="D10" i="46"/>
  <c r="D11" i="45"/>
  <c r="D11" i="46"/>
  <c r="D200" i="41"/>
  <c r="J11" i="45" s="1"/>
  <c r="D119" i="41"/>
  <c r="J9" i="45" s="1"/>
  <c r="D55" i="41"/>
  <c r="D56" i="41"/>
  <c r="D57" i="41"/>
  <c r="D58" i="41"/>
  <c r="D59" i="41"/>
  <c r="D60" i="41"/>
  <c r="D61" i="41"/>
  <c r="D62" i="41"/>
  <c r="D63" i="41"/>
  <c r="D64" i="41"/>
  <c r="D65" i="41"/>
  <c r="D66" i="41"/>
  <c r="D3" i="41"/>
  <c r="D4" i="41"/>
  <c r="D39" i="41" s="1"/>
  <c r="D5" i="41"/>
  <c r="D6" i="41"/>
  <c r="D7" i="41"/>
  <c r="D8" i="41"/>
  <c r="D9" i="41"/>
  <c r="D10" i="41"/>
  <c r="D11" i="41"/>
  <c r="D12" i="41"/>
  <c r="D47" i="41" s="1"/>
  <c r="D13" i="41"/>
  <c r="D14" i="41"/>
  <c r="I11" i="45"/>
  <c r="I9" i="45"/>
  <c r="G11" i="45"/>
  <c r="G9" i="45"/>
  <c r="D3" i="45"/>
  <c r="C200" i="41"/>
  <c r="J11" i="44" s="1"/>
  <c r="C119" i="41"/>
  <c r="J9" i="44" s="1"/>
  <c r="C55" i="41"/>
  <c r="C56" i="41"/>
  <c r="C57" i="41"/>
  <c r="C58" i="41"/>
  <c r="C59" i="41"/>
  <c r="C60" i="41"/>
  <c r="C95" i="41" s="1"/>
  <c r="C61" i="41"/>
  <c r="C62" i="41"/>
  <c r="C63" i="41"/>
  <c r="C64" i="41"/>
  <c r="C65" i="41"/>
  <c r="C66" i="41"/>
  <c r="C3" i="41"/>
  <c r="C4" i="41"/>
  <c r="C39" i="41" s="1"/>
  <c r="C5" i="41"/>
  <c r="C6" i="41"/>
  <c r="C7" i="41"/>
  <c r="C8" i="41"/>
  <c r="C9" i="41"/>
  <c r="C10" i="41"/>
  <c r="C11" i="41"/>
  <c r="C12" i="41"/>
  <c r="C47" i="41" s="1"/>
  <c r="C13" i="41"/>
  <c r="C14" i="41"/>
  <c r="I11" i="44"/>
  <c r="I9" i="44"/>
  <c r="G11" i="44"/>
  <c r="G9" i="44"/>
  <c r="H5" i="39"/>
  <c r="D3" i="43"/>
  <c r="O29" i="39"/>
  <c r="N29" i="39"/>
  <c r="M29" i="39"/>
  <c r="L29" i="39"/>
  <c r="K29" i="39"/>
  <c r="J29" i="39"/>
  <c r="I29" i="39"/>
  <c r="H29" i="39"/>
  <c r="G29" i="39"/>
  <c r="F29" i="39"/>
  <c r="E29" i="39"/>
  <c r="D29" i="39"/>
  <c r="D12" i="43"/>
  <c r="B200" i="41"/>
  <c r="B119" i="41"/>
  <c r="J9" i="43" s="1"/>
  <c r="B55" i="41"/>
  <c r="B56" i="41"/>
  <c r="B57" i="41"/>
  <c r="B58" i="41"/>
  <c r="B93" i="41" s="1"/>
  <c r="B59" i="41"/>
  <c r="B60" i="41"/>
  <c r="B61" i="41"/>
  <c r="B62" i="41"/>
  <c r="B63" i="41"/>
  <c r="B64" i="41"/>
  <c r="B98" i="41" s="1"/>
  <c r="B65" i="41"/>
  <c r="B66" i="41"/>
  <c r="I11" i="43"/>
  <c r="I9" i="43"/>
  <c r="G11" i="43"/>
  <c r="G9" i="43"/>
  <c r="D9" i="43"/>
  <c r="O60" i="39"/>
  <c r="N60" i="39"/>
  <c r="M60" i="39"/>
  <c r="L60" i="39"/>
  <c r="K60" i="39"/>
  <c r="J60" i="39"/>
  <c r="I60" i="39"/>
  <c r="H60" i="39"/>
  <c r="G60" i="39"/>
  <c r="F60" i="39"/>
  <c r="E60" i="39"/>
  <c r="D60" i="39"/>
  <c r="O59" i="39"/>
  <c r="N59" i="39"/>
  <c r="M59" i="39"/>
  <c r="L59" i="39"/>
  <c r="K59" i="39"/>
  <c r="J59" i="39"/>
  <c r="I59" i="39"/>
  <c r="H59" i="39"/>
  <c r="G59" i="39"/>
  <c r="F59" i="39"/>
  <c r="E59" i="39"/>
  <c r="D59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O56" i="39"/>
  <c r="N56" i="39"/>
  <c r="M56" i="39"/>
  <c r="L56" i="39"/>
  <c r="K56" i="39"/>
  <c r="J56" i="39"/>
  <c r="I56" i="39"/>
  <c r="H56" i="39"/>
  <c r="G56" i="39"/>
  <c r="F56" i="39"/>
  <c r="E56" i="39"/>
  <c r="D56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O54" i="39"/>
  <c r="N54" i="39"/>
  <c r="M54" i="39"/>
  <c r="L54" i="39"/>
  <c r="K54" i="39"/>
  <c r="J54" i="39"/>
  <c r="I54" i="39"/>
  <c r="H54" i="39"/>
  <c r="G54" i="39"/>
  <c r="F54" i="39"/>
  <c r="E54" i="39"/>
  <c r="D54" i="39"/>
  <c r="O53" i="39"/>
  <c r="N53" i="39"/>
  <c r="M53" i="39"/>
  <c r="L53" i="39"/>
  <c r="K53" i="39"/>
  <c r="J53" i="39"/>
  <c r="I53" i="39"/>
  <c r="H53" i="39"/>
  <c r="G53" i="39"/>
  <c r="F53" i="39"/>
  <c r="E53" i="39"/>
  <c r="D53" i="39"/>
  <c r="O52" i="39"/>
  <c r="N52" i="39"/>
  <c r="M52" i="39"/>
  <c r="L52" i="39"/>
  <c r="K52" i="39"/>
  <c r="J52" i="39"/>
  <c r="I52" i="39"/>
  <c r="H52" i="39"/>
  <c r="G52" i="39"/>
  <c r="F52" i="39"/>
  <c r="E52" i="39"/>
  <c r="D52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P74" i="39"/>
  <c r="P44" i="39"/>
  <c r="P43" i="39"/>
  <c r="P42" i="39"/>
  <c r="P41" i="39"/>
  <c r="P40" i="39"/>
  <c r="P39" i="39"/>
  <c r="P38" i="39"/>
  <c r="P36" i="39"/>
  <c r="P75" i="39"/>
  <c r="P73" i="39"/>
  <c r="P72" i="39"/>
  <c r="P71" i="39"/>
  <c r="P70" i="39"/>
  <c r="P69" i="39"/>
  <c r="P68" i="39"/>
  <c r="P67" i="39"/>
  <c r="P37" i="39"/>
  <c r="B3" i="41"/>
  <c r="B4" i="41"/>
  <c r="B5" i="41"/>
  <c r="B6" i="41"/>
  <c r="B41" i="41" s="1"/>
  <c r="B7" i="41"/>
  <c r="B8" i="41"/>
  <c r="B9" i="41"/>
  <c r="B10" i="41"/>
  <c r="B11" i="41"/>
  <c r="B12" i="41"/>
  <c r="B13" i="41"/>
  <c r="B14" i="41"/>
  <c r="B48" i="41" s="1"/>
  <c r="M251" i="41"/>
  <c r="L251" i="41"/>
  <c r="K251" i="41"/>
  <c r="I251" i="41"/>
  <c r="H251" i="41"/>
  <c r="G251" i="41"/>
  <c r="F251" i="41"/>
  <c r="E251" i="41"/>
  <c r="D251" i="41"/>
  <c r="C251" i="41"/>
  <c r="B251" i="41"/>
  <c r="M250" i="41"/>
  <c r="L250" i="41"/>
  <c r="K250" i="41"/>
  <c r="I250" i="41"/>
  <c r="H250" i="41"/>
  <c r="G250" i="41"/>
  <c r="F250" i="41"/>
  <c r="E250" i="41"/>
  <c r="D250" i="41"/>
  <c r="C250" i="41"/>
  <c r="B250" i="41"/>
  <c r="M249" i="41"/>
  <c r="L249" i="41"/>
  <c r="K249" i="41"/>
  <c r="I249" i="41"/>
  <c r="H249" i="41"/>
  <c r="G249" i="41"/>
  <c r="F249" i="41"/>
  <c r="E249" i="41"/>
  <c r="D249" i="41"/>
  <c r="C249" i="41"/>
  <c r="B249" i="41"/>
  <c r="M248" i="41"/>
  <c r="L248" i="41"/>
  <c r="K248" i="41"/>
  <c r="I248" i="41"/>
  <c r="H248" i="41"/>
  <c r="G248" i="41"/>
  <c r="F248" i="41"/>
  <c r="E248" i="41"/>
  <c r="D248" i="41"/>
  <c r="C248" i="41"/>
  <c r="B248" i="41"/>
  <c r="M247" i="41"/>
  <c r="L247" i="41"/>
  <c r="K247" i="41"/>
  <c r="I247" i="41"/>
  <c r="H247" i="41"/>
  <c r="G247" i="41"/>
  <c r="F247" i="41"/>
  <c r="E247" i="41"/>
  <c r="D247" i="41"/>
  <c r="C247" i="41"/>
  <c r="B247" i="41"/>
  <c r="M246" i="41"/>
  <c r="L246" i="41"/>
  <c r="K246" i="41"/>
  <c r="I246" i="41"/>
  <c r="H246" i="41"/>
  <c r="G246" i="41"/>
  <c r="F246" i="41"/>
  <c r="E246" i="41"/>
  <c r="D246" i="41"/>
  <c r="C246" i="41"/>
  <c r="B246" i="41"/>
  <c r="M245" i="41"/>
  <c r="L245" i="41"/>
  <c r="K245" i="41"/>
  <c r="I245" i="41"/>
  <c r="H245" i="41"/>
  <c r="G245" i="41"/>
  <c r="F245" i="41"/>
  <c r="E245" i="41"/>
  <c r="D245" i="41"/>
  <c r="C245" i="41"/>
  <c r="B245" i="41"/>
  <c r="M244" i="41"/>
  <c r="L244" i="41"/>
  <c r="K244" i="41"/>
  <c r="I244" i="41"/>
  <c r="H244" i="41"/>
  <c r="G244" i="41"/>
  <c r="F244" i="41"/>
  <c r="E244" i="41"/>
  <c r="D244" i="41"/>
  <c r="C244" i="41"/>
  <c r="B244" i="41"/>
  <c r="M243" i="41"/>
  <c r="L243" i="41"/>
  <c r="K243" i="41"/>
  <c r="I243" i="41"/>
  <c r="H243" i="41"/>
  <c r="G243" i="41"/>
  <c r="F243" i="41"/>
  <c r="E243" i="41"/>
  <c r="D243" i="41"/>
  <c r="C243" i="41"/>
  <c r="B243" i="41"/>
  <c r="M242" i="41"/>
  <c r="L242" i="41"/>
  <c r="K242" i="41"/>
  <c r="I242" i="41"/>
  <c r="H242" i="41"/>
  <c r="G242" i="41"/>
  <c r="F242" i="41"/>
  <c r="E242" i="41"/>
  <c r="D242" i="41"/>
  <c r="C242" i="41"/>
  <c r="B242" i="41"/>
  <c r="M241" i="41"/>
  <c r="L241" i="41"/>
  <c r="K241" i="41"/>
  <c r="I241" i="41"/>
  <c r="H241" i="41"/>
  <c r="G241" i="41"/>
  <c r="F241" i="41"/>
  <c r="E241" i="41"/>
  <c r="D241" i="41"/>
  <c r="C241" i="41"/>
  <c r="B241" i="41"/>
  <c r="L200" i="41"/>
  <c r="J11" i="53" s="1"/>
  <c r="G234" i="41"/>
  <c r="C234" i="41"/>
  <c r="K233" i="41"/>
  <c r="B233" i="41"/>
  <c r="I232" i="41"/>
  <c r="G230" i="41"/>
  <c r="C230" i="41"/>
  <c r="K229" i="41"/>
  <c r="B229" i="41"/>
  <c r="I228" i="41"/>
  <c r="G226" i="41"/>
  <c r="C226" i="41"/>
  <c r="K225" i="41"/>
  <c r="F225" i="41"/>
  <c r="B225" i="41"/>
  <c r="I224" i="41"/>
  <c r="G224" i="41"/>
  <c r="C224" i="41"/>
  <c r="M200" i="41"/>
  <c r="M232" i="41" s="1"/>
  <c r="K234" i="41"/>
  <c r="I233" i="41"/>
  <c r="G235" i="41"/>
  <c r="D232" i="41"/>
  <c r="C235" i="41"/>
  <c r="B224" i="41"/>
  <c r="K224" i="41"/>
  <c r="C225" i="41"/>
  <c r="G225" i="41"/>
  <c r="D226" i="41"/>
  <c r="I227" i="41"/>
  <c r="B228" i="41"/>
  <c r="K228" i="41"/>
  <c r="C229" i="41"/>
  <c r="G229" i="41"/>
  <c r="D230" i="41"/>
  <c r="I231" i="41"/>
  <c r="B232" i="41"/>
  <c r="K232" i="41"/>
  <c r="C233" i="41"/>
  <c r="G233" i="41"/>
  <c r="D234" i="41"/>
  <c r="I235" i="41"/>
  <c r="D227" i="41"/>
  <c r="D231" i="41"/>
  <c r="I226" i="41"/>
  <c r="B227" i="41"/>
  <c r="F227" i="41"/>
  <c r="K227" i="41"/>
  <c r="C228" i="41"/>
  <c r="G228" i="41"/>
  <c r="D229" i="41"/>
  <c r="I230" i="41"/>
  <c r="B231" i="41"/>
  <c r="K231" i="41"/>
  <c r="C232" i="41"/>
  <c r="G232" i="41"/>
  <c r="D233" i="41"/>
  <c r="I234" i="41"/>
  <c r="B235" i="41"/>
  <c r="K235" i="41"/>
  <c r="D235" i="41"/>
  <c r="D225" i="41"/>
  <c r="D224" i="41"/>
  <c r="I225" i="41"/>
  <c r="B226" i="41"/>
  <c r="F226" i="41"/>
  <c r="K226" i="41"/>
  <c r="C227" i="41"/>
  <c r="G227" i="41"/>
  <c r="D228" i="41"/>
  <c r="I229" i="41"/>
  <c r="B230" i="41"/>
  <c r="K230" i="41"/>
  <c r="C231" i="41"/>
  <c r="G231" i="41"/>
  <c r="B234" i="41"/>
  <c r="D12" i="54"/>
  <c r="K16" i="39"/>
  <c r="H4" i="39"/>
  <c r="D4" i="43"/>
  <c r="N164" i="41"/>
  <c r="O164" i="41" s="1"/>
  <c r="N162" i="41"/>
  <c r="O162" i="41" s="1"/>
  <c r="N161" i="41"/>
  <c r="O161" i="41" s="1"/>
  <c r="N160" i="41"/>
  <c r="O160" i="41" s="1"/>
  <c r="N159" i="41"/>
  <c r="O159" i="41" s="1"/>
  <c r="N158" i="41"/>
  <c r="O158" i="41" s="1"/>
  <c r="N157" i="41"/>
  <c r="O157" i="41" s="1"/>
  <c r="N163" i="41"/>
  <c r="O163" i="41" s="1"/>
  <c r="Q16" i="39"/>
  <c r="P16" i="39"/>
  <c r="N120" i="41"/>
  <c r="B149" i="41"/>
  <c r="J143" i="41"/>
  <c r="N121" i="41"/>
  <c r="L118" i="41"/>
  <c r="H118" i="41"/>
  <c r="F142" i="41"/>
  <c r="D118" i="41"/>
  <c r="M66" i="41"/>
  <c r="L66" i="41"/>
  <c r="L100" i="41" s="1"/>
  <c r="K66" i="41"/>
  <c r="M65" i="41"/>
  <c r="L65" i="41"/>
  <c r="K65" i="41"/>
  <c r="M64" i="41"/>
  <c r="L64" i="41"/>
  <c r="K64" i="41"/>
  <c r="M63" i="41"/>
  <c r="M97" i="41" s="1"/>
  <c r="L63" i="41"/>
  <c r="L97" i="41" s="1"/>
  <c r="K63" i="41"/>
  <c r="M62" i="41"/>
  <c r="L62" i="41"/>
  <c r="K62" i="41"/>
  <c r="D97" i="41"/>
  <c r="M61" i="41"/>
  <c r="M96" i="41" s="1"/>
  <c r="L61" i="41"/>
  <c r="L95" i="41" s="1"/>
  <c r="K61" i="41"/>
  <c r="K95" i="41" s="1"/>
  <c r="M60" i="41"/>
  <c r="L60" i="41"/>
  <c r="K60" i="41"/>
  <c r="M59" i="41"/>
  <c r="L59" i="41"/>
  <c r="K59" i="41"/>
  <c r="M58" i="41"/>
  <c r="M92" i="41" s="1"/>
  <c r="L58" i="41"/>
  <c r="L92" i="41" s="1"/>
  <c r="K58" i="41"/>
  <c r="M57" i="41"/>
  <c r="L57" i="41"/>
  <c r="K57" i="41"/>
  <c r="M56" i="41"/>
  <c r="L56" i="41"/>
  <c r="K56" i="41"/>
  <c r="K90" i="41" s="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N17" i="41"/>
  <c r="F99" i="41"/>
  <c r="F96" i="41"/>
  <c r="H97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C143" i="41"/>
  <c r="K143" i="41"/>
  <c r="I145" i="41"/>
  <c r="M145" i="41"/>
  <c r="C147" i="41"/>
  <c r="G147" i="41"/>
  <c r="E149" i="41"/>
  <c r="M149" i="41"/>
  <c r="C151" i="41"/>
  <c r="K119" i="41"/>
  <c r="J9" i="52" s="1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 s="1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 s="1"/>
  <c r="D96" i="41"/>
  <c r="J90" i="41"/>
  <c r="J98" i="41"/>
  <c r="H94" i="41"/>
  <c r="J93" i="41"/>
  <c r="F91" i="41"/>
  <c r="G91" i="41"/>
  <c r="E93" i="41"/>
  <c r="I97" i="41"/>
  <c r="G99" i="41"/>
  <c r="I90" i="41"/>
  <c r="E94" i="41"/>
  <c r="I98" i="41"/>
  <c r="G94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M8" i="41"/>
  <c r="L8" i="41"/>
  <c r="K8" i="41"/>
  <c r="M7" i="41"/>
  <c r="L7" i="41"/>
  <c r="K7" i="41"/>
  <c r="M6" i="41"/>
  <c r="L6" i="41"/>
  <c r="K6" i="41"/>
  <c r="M5" i="41"/>
  <c r="M39" i="41" s="1"/>
  <c r="L5" i="41"/>
  <c r="K5" i="41"/>
  <c r="M4" i="41"/>
  <c r="L4" i="41"/>
  <c r="K4" i="41"/>
  <c r="M3" i="41"/>
  <c r="L3" i="41"/>
  <c r="K3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F41" i="41"/>
  <c r="B136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H136" i="41"/>
  <c r="H132" i="41"/>
  <c r="H128" i="41"/>
  <c r="H125" i="41"/>
  <c r="H134" i="41"/>
  <c r="H130" i="41"/>
  <c r="H126" i="41"/>
  <c r="H135" i="41"/>
  <c r="H131" i="41"/>
  <c r="H127" i="41"/>
  <c r="H133" i="41"/>
  <c r="H129" i="41"/>
  <c r="E133" i="41"/>
  <c r="E125" i="41"/>
  <c r="E126" i="41"/>
  <c r="E135" i="41"/>
  <c r="E131" i="41"/>
  <c r="E127" i="41"/>
  <c r="E136" i="41"/>
  <c r="E128" i="41"/>
  <c r="G135" i="41"/>
  <c r="G131" i="41"/>
  <c r="G127" i="41"/>
  <c r="G136" i="41"/>
  <c r="G132" i="41"/>
  <c r="G128" i="41"/>
  <c r="G133" i="41"/>
  <c r="G129" i="41"/>
  <c r="G134" i="41"/>
  <c r="G130" i="41"/>
  <c r="G126" i="41"/>
  <c r="G125" i="41"/>
  <c r="D136" i="41"/>
  <c r="D132" i="41"/>
  <c r="D128" i="41"/>
  <c r="D133" i="41"/>
  <c r="D129" i="41"/>
  <c r="D134" i="41"/>
  <c r="D130" i="41"/>
  <c r="D126" i="41"/>
  <c r="D135" i="41"/>
  <c r="D131" i="41"/>
  <c r="D127" i="41"/>
  <c r="D125" i="41"/>
  <c r="J130" i="41"/>
  <c r="J127" i="41"/>
  <c r="J132" i="41"/>
  <c r="J133" i="41"/>
  <c r="F40" i="41"/>
  <c r="F43" i="41"/>
  <c r="J43" i="41"/>
  <c r="J44" i="41"/>
  <c r="F48" i="41"/>
  <c r="D41" i="41"/>
  <c r="C40" i="41"/>
  <c r="G44" i="41"/>
  <c r="G45" i="41"/>
  <c r="C48" i="41"/>
  <c r="E38" i="41"/>
  <c r="I42" i="41"/>
  <c r="I43" i="41"/>
  <c r="E46" i="41"/>
  <c r="D40" i="41"/>
  <c r="H40" i="41"/>
  <c r="I41" i="41"/>
  <c r="F42" i="41"/>
  <c r="J42" i="41"/>
  <c r="G43" i="41"/>
  <c r="E45" i="41"/>
  <c r="D48" i="41"/>
  <c r="H48" i="41"/>
  <c r="D12" i="53"/>
  <c r="D12" i="52"/>
  <c r="D12" i="51"/>
  <c r="D12" i="50"/>
  <c r="D12" i="49"/>
  <c r="D12" i="48"/>
  <c r="D12" i="47"/>
  <c r="D12" i="46"/>
  <c r="D12" i="45"/>
  <c r="R16" i="39"/>
  <c r="AA22" i="39" s="1"/>
  <c r="O16" i="39"/>
  <c r="D9" i="54"/>
  <c r="D9" i="53"/>
  <c r="D9" i="52"/>
  <c r="D9" i="50"/>
  <c r="D9" i="49"/>
  <c r="D9" i="48"/>
  <c r="D9" i="47"/>
  <c r="D9" i="46"/>
  <c r="D9" i="45"/>
  <c r="M16" i="39"/>
  <c r="AA20" i="39" s="1"/>
  <c r="S16" i="39"/>
  <c r="D16" i="39"/>
  <c r="H15" i="39"/>
  <c r="D5" i="54" s="1"/>
  <c r="H14" i="39"/>
  <c r="D5" i="53" s="1"/>
  <c r="H13" i="39"/>
  <c r="D5" i="52" s="1"/>
  <c r="H12" i="39"/>
  <c r="H11" i="39"/>
  <c r="D5" i="50" s="1"/>
  <c r="H10" i="39"/>
  <c r="D5" i="49" s="1"/>
  <c r="H9" i="39"/>
  <c r="D5" i="48" s="1"/>
  <c r="H8" i="39"/>
  <c r="D5" i="47" s="1"/>
  <c r="H7" i="39"/>
  <c r="H6" i="39"/>
  <c r="D5" i="45" s="1"/>
  <c r="D5" i="51" l="1"/>
  <c r="D5" i="46"/>
  <c r="C9" i="53"/>
  <c r="C9" i="51"/>
  <c r="C9" i="50"/>
  <c r="C9" i="47"/>
  <c r="C9" i="49"/>
  <c r="C9" i="54"/>
  <c r="C9" i="52"/>
  <c r="C9" i="46"/>
  <c r="C9" i="45"/>
  <c r="C9" i="48"/>
  <c r="N167" i="41"/>
  <c r="O167" i="41" s="1"/>
  <c r="AA21" i="39"/>
  <c r="AA11" i="39"/>
  <c r="C14" i="59" s="1"/>
  <c r="AA23" i="39"/>
  <c r="D5" i="43"/>
  <c r="K100" i="41"/>
  <c r="H90" i="41"/>
  <c r="J11" i="43"/>
  <c r="B94" i="41"/>
  <c r="K129" i="41"/>
  <c r="J128" i="41"/>
  <c r="J134" i="41"/>
  <c r="J136" i="41"/>
  <c r="B97" i="41"/>
  <c r="C43" i="41"/>
  <c r="C99" i="41"/>
  <c r="C91" i="41"/>
  <c r="G46" i="41"/>
  <c r="G38" i="41"/>
  <c r="H41" i="41"/>
  <c r="J131" i="41"/>
  <c r="L40" i="41"/>
  <c r="J125" i="41"/>
  <c r="J135" i="41"/>
  <c r="J129" i="41"/>
  <c r="J126" i="41"/>
  <c r="B99" i="41"/>
  <c r="B91" i="41"/>
  <c r="D93" i="41"/>
  <c r="L43" i="41"/>
  <c r="K46" i="41"/>
  <c r="M48" i="41"/>
  <c r="B47" i="41"/>
  <c r="C45" i="41"/>
  <c r="P56" i="39"/>
  <c r="P60" i="39"/>
  <c r="M130" i="41"/>
  <c r="P54" i="39"/>
  <c r="P58" i="39"/>
  <c r="L91" i="41"/>
  <c r="K94" i="41"/>
  <c r="AA10" i="39"/>
  <c r="I126" i="41"/>
  <c r="I135" i="41"/>
  <c r="K42" i="41"/>
  <c r="P52" i="39"/>
  <c r="B40" i="41"/>
  <c r="B46" i="41"/>
  <c r="J45" i="41"/>
  <c r="L93" i="41"/>
  <c r="L98" i="41"/>
  <c r="K96" i="41"/>
  <c r="P21" i="39"/>
  <c r="P23" i="39"/>
  <c r="P25" i="39"/>
  <c r="P27" i="39"/>
  <c r="P53" i="39"/>
  <c r="P55" i="39"/>
  <c r="P57" i="39"/>
  <c r="P59" i="39"/>
  <c r="P22" i="39"/>
  <c r="P24" i="39"/>
  <c r="P26" i="39"/>
  <c r="K99" i="41"/>
  <c r="B38" i="41"/>
  <c r="B43" i="41"/>
  <c r="D44" i="41"/>
  <c r="L38" i="41"/>
  <c r="M43" i="41"/>
  <c r="L46" i="41"/>
  <c r="K40" i="41"/>
  <c r="M42" i="41"/>
  <c r="L45" i="41"/>
  <c r="K48" i="41"/>
  <c r="M134" i="41"/>
  <c r="K133" i="41"/>
  <c r="M127" i="41"/>
  <c r="M131" i="41"/>
  <c r="K125" i="41"/>
  <c r="M135" i="41"/>
  <c r="M128" i="41"/>
  <c r="K128" i="41"/>
  <c r="K136" i="41"/>
  <c r="M125" i="41"/>
  <c r="M132" i="41"/>
  <c r="K132" i="41"/>
  <c r="K127" i="41"/>
  <c r="M129" i="41"/>
  <c r="M136" i="41"/>
  <c r="K126" i="41"/>
  <c r="K131" i="41"/>
  <c r="M133" i="41"/>
  <c r="K130" i="41"/>
  <c r="K135" i="41"/>
  <c r="M126" i="41"/>
  <c r="K134" i="41"/>
  <c r="L39" i="41"/>
  <c r="M44" i="41"/>
  <c r="M38" i="41"/>
  <c r="L41" i="41"/>
  <c r="M228" i="41"/>
  <c r="M224" i="41"/>
  <c r="K41" i="41"/>
  <c r="B96" i="41"/>
  <c r="L94" i="41"/>
  <c r="C46" i="41"/>
  <c r="L42" i="41"/>
  <c r="AA9" i="39"/>
  <c r="C12" i="59" s="1"/>
  <c r="C9" i="43"/>
  <c r="N16" i="39"/>
  <c r="AA8" i="39"/>
  <c r="C11" i="59" s="1"/>
  <c r="F135" i="41"/>
  <c r="F126" i="41"/>
  <c r="B236" i="41"/>
  <c r="M231" i="41"/>
  <c r="M227" i="41"/>
  <c r="M229" i="41"/>
  <c r="M234" i="41"/>
  <c r="M233" i="41"/>
  <c r="L99" i="41"/>
  <c r="B45" i="41"/>
  <c r="C94" i="41"/>
  <c r="D46" i="41"/>
  <c r="D38" i="41"/>
  <c r="F46" i="41"/>
  <c r="F38" i="41"/>
  <c r="G41" i="41"/>
  <c r="H44" i="41"/>
  <c r="I47" i="41"/>
  <c r="I39" i="41"/>
  <c r="I95" i="41"/>
  <c r="J48" i="41"/>
  <c r="J40" i="41"/>
  <c r="C38" i="41"/>
  <c r="K47" i="41"/>
  <c r="L90" i="41"/>
  <c r="M95" i="41"/>
  <c r="K98" i="41"/>
  <c r="F125" i="41"/>
  <c r="F130" i="41"/>
  <c r="F129" i="41"/>
  <c r="F134" i="41"/>
  <c r="F133" i="41"/>
  <c r="F128" i="41"/>
  <c r="F132" i="41"/>
  <c r="F136" i="41"/>
  <c r="F127" i="41"/>
  <c r="F131" i="41"/>
  <c r="I130" i="41"/>
  <c r="I125" i="41"/>
  <c r="I236" i="41"/>
  <c r="H227" i="41"/>
  <c r="B44" i="41"/>
  <c r="E42" i="41"/>
  <c r="F100" i="41"/>
  <c r="G48" i="41"/>
  <c r="G95" i="41"/>
  <c r="H98" i="41"/>
  <c r="I93" i="41"/>
  <c r="I134" i="41"/>
  <c r="I129" i="41"/>
  <c r="H228" i="41"/>
  <c r="N6" i="41"/>
  <c r="I133" i="41"/>
  <c r="L96" i="41"/>
  <c r="H224" i="41"/>
  <c r="H226" i="41"/>
  <c r="L44" i="41"/>
  <c r="I46" i="41"/>
  <c r="I132" i="41"/>
  <c r="H230" i="41"/>
  <c r="H232" i="41"/>
  <c r="I136" i="41"/>
  <c r="K38" i="41"/>
  <c r="K91" i="41"/>
  <c r="M93" i="41"/>
  <c r="M98" i="41"/>
  <c r="H225" i="41"/>
  <c r="H234" i="41"/>
  <c r="D45" i="41"/>
  <c r="I127" i="41"/>
  <c r="L47" i="41"/>
  <c r="H233" i="41"/>
  <c r="H229" i="41"/>
  <c r="H235" i="41"/>
  <c r="I128" i="41"/>
  <c r="I131" i="41"/>
  <c r="K45" i="41"/>
  <c r="M47" i="41"/>
  <c r="H231" i="41"/>
  <c r="E98" i="41"/>
  <c r="E90" i="41"/>
  <c r="F68" i="41"/>
  <c r="F77" i="41" s="1"/>
  <c r="J95" i="41"/>
  <c r="B90" i="41"/>
  <c r="D100" i="41"/>
  <c r="D92" i="41"/>
  <c r="N10" i="41"/>
  <c r="G39" i="41"/>
  <c r="H42" i="41"/>
  <c r="N11" i="41"/>
  <c r="N3" i="41"/>
  <c r="J38" i="41"/>
  <c r="B42" i="41"/>
  <c r="L227" i="41"/>
  <c r="L233" i="41"/>
  <c r="F233" i="41"/>
  <c r="M235" i="41"/>
  <c r="M225" i="41"/>
  <c r="M230" i="41"/>
  <c r="M226" i="41"/>
  <c r="E41" i="41"/>
  <c r="F45" i="41"/>
  <c r="I94" i="41"/>
  <c r="L229" i="41"/>
  <c r="D236" i="41"/>
  <c r="L226" i="41"/>
  <c r="D43" i="41"/>
  <c r="N14" i="41"/>
  <c r="E97" i="41"/>
  <c r="F44" i="41"/>
  <c r="L225" i="41"/>
  <c r="N7" i="41"/>
  <c r="C98" i="41"/>
  <c r="C90" i="41"/>
  <c r="N12" i="41"/>
  <c r="K92" i="41"/>
  <c r="M99" i="41"/>
  <c r="C236" i="41"/>
  <c r="L224" i="41"/>
  <c r="B16" i="41"/>
  <c r="B29" i="41" s="1"/>
  <c r="G100" i="41"/>
  <c r="J100" i="41"/>
  <c r="C44" i="41"/>
  <c r="C100" i="41"/>
  <c r="L230" i="41"/>
  <c r="M40" i="41"/>
  <c r="K44" i="41"/>
  <c r="M46" i="41"/>
  <c r="K236" i="41"/>
  <c r="L235" i="41"/>
  <c r="J11" i="54"/>
  <c r="L232" i="41"/>
  <c r="L231" i="41"/>
  <c r="L228" i="41"/>
  <c r="L234" i="41"/>
  <c r="J96" i="41"/>
  <c r="G137" i="41"/>
  <c r="H137" i="41"/>
  <c r="C137" i="41"/>
  <c r="L133" i="41"/>
  <c r="L128" i="41"/>
  <c r="L125" i="41"/>
  <c r="L136" i="41"/>
  <c r="L127" i="41"/>
  <c r="L135" i="41"/>
  <c r="L126" i="41"/>
  <c r="L130" i="41"/>
  <c r="L129" i="41"/>
  <c r="N118" i="41"/>
  <c r="D137" i="41"/>
  <c r="B127" i="41"/>
  <c r="B131" i="41"/>
  <c r="B125" i="41"/>
  <c r="B135" i="41"/>
  <c r="B129" i="41"/>
  <c r="B126" i="41"/>
  <c r="B133" i="41"/>
  <c r="B130" i="41"/>
  <c r="B128" i="41"/>
  <c r="B134" i="41"/>
  <c r="B132" i="41"/>
  <c r="AC67" i="41"/>
  <c r="K97" i="41"/>
  <c r="I67" i="41"/>
  <c r="I7" i="50" s="1"/>
  <c r="M100" i="41"/>
  <c r="N65" i="41"/>
  <c r="J94" i="41"/>
  <c r="J67" i="41"/>
  <c r="I7" i="51" s="1"/>
  <c r="F92" i="41"/>
  <c r="E67" i="41"/>
  <c r="G7" i="46" s="1"/>
  <c r="B95" i="41"/>
  <c r="M94" i="41"/>
  <c r="K43" i="41"/>
  <c r="L15" i="41"/>
  <c r="G5" i="53" s="1"/>
  <c r="N13" i="41"/>
  <c r="N5" i="41"/>
  <c r="L16" i="41"/>
  <c r="L30" i="41" s="1"/>
  <c r="K16" i="41"/>
  <c r="C42" i="41"/>
  <c r="J39" i="41"/>
  <c r="L48" i="41"/>
  <c r="M45" i="41"/>
  <c r="J47" i="41"/>
  <c r="J46" i="41"/>
  <c r="I45" i="41"/>
  <c r="K39" i="41"/>
  <c r="C41" i="41"/>
  <c r="K15" i="41"/>
  <c r="I5" i="52" s="1"/>
  <c r="D42" i="41"/>
  <c r="M16" i="41"/>
  <c r="M24" i="41" s="1"/>
  <c r="N9" i="41"/>
  <c r="M15" i="41"/>
  <c r="G5" i="54" s="1"/>
  <c r="B39" i="41"/>
  <c r="M41" i="41"/>
  <c r="I38" i="41"/>
  <c r="G47" i="41"/>
  <c r="P28" i="39"/>
  <c r="P29" i="39"/>
  <c r="E130" i="41"/>
  <c r="E134" i="41"/>
  <c r="J9" i="46"/>
  <c r="E132" i="41"/>
  <c r="H43" i="41"/>
  <c r="H16" i="39"/>
  <c r="N8" i="41"/>
  <c r="E44" i="41"/>
  <c r="E43" i="41"/>
  <c r="E232" i="41"/>
  <c r="E228" i="41"/>
  <c r="E233" i="41"/>
  <c r="E227" i="41"/>
  <c r="E234" i="41"/>
  <c r="J11" i="46"/>
  <c r="E224" i="41"/>
  <c r="E235" i="41"/>
  <c r="E226" i="41"/>
  <c r="E225" i="41"/>
  <c r="E231" i="41"/>
  <c r="E230" i="41"/>
  <c r="E229" i="41"/>
  <c r="H100" i="41"/>
  <c r="H99" i="41"/>
  <c r="H96" i="41"/>
  <c r="H95" i="41"/>
  <c r="H92" i="41"/>
  <c r="H68" i="41"/>
  <c r="H67" i="41"/>
  <c r="H91" i="41"/>
  <c r="AC15" i="41"/>
  <c r="E16" i="41"/>
  <c r="E31" i="41" s="1"/>
  <c r="E15" i="41"/>
  <c r="F97" i="41"/>
  <c r="F98" i="41"/>
  <c r="F94" i="41"/>
  <c r="N59" i="41"/>
  <c r="F93" i="41"/>
  <c r="F90" i="41"/>
  <c r="F67" i="41"/>
  <c r="H47" i="41"/>
  <c r="H16" i="41"/>
  <c r="H30" i="41" s="1"/>
  <c r="H15" i="41"/>
  <c r="H39" i="41"/>
  <c r="H38" i="41"/>
  <c r="N4" i="41"/>
  <c r="E48" i="41"/>
  <c r="E40" i="41"/>
  <c r="E47" i="41"/>
  <c r="E39" i="41"/>
  <c r="H46" i="41"/>
  <c r="G236" i="41"/>
  <c r="C97" i="41"/>
  <c r="C96" i="41"/>
  <c r="N62" i="41"/>
  <c r="C67" i="41"/>
  <c r="C92" i="41"/>
  <c r="C93" i="41"/>
  <c r="G97" i="41"/>
  <c r="G96" i="41"/>
  <c r="G92" i="41"/>
  <c r="G68" i="41"/>
  <c r="G76" i="41" s="1"/>
  <c r="G93" i="41"/>
  <c r="N63" i="41"/>
  <c r="N55" i="41"/>
  <c r="D99" i="41"/>
  <c r="N64" i="41"/>
  <c r="D98" i="41"/>
  <c r="D95" i="41"/>
  <c r="D94" i="41"/>
  <c r="N60" i="41"/>
  <c r="D68" i="41"/>
  <c r="D78" i="41" s="1"/>
  <c r="D67" i="41"/>
  <c r="D90" i="41"/>
  <c r="N56" i="41"/>
  <c r="D91" i="41"/>
  <c r="G16" i="41"/>
  <c r="G15" i="41"/>
  <c r="G40" i="41"/>
  <c r="L131" i="41"/>
  <c r="L134" i="41"/>
  <c r="L132" i="41"/>
  <c r="L67" i="41"/>
  <c r="L68" i="41"/>
  <c r="M91" i="41"/>
  <c r="M68" i="41"/>
  <c r="J7" i="54" s="1"/>
  <c r="M90" i="41"/>
  <c r="M67" i="41"/>
  <c r="K68" i="41"/>
  <c r="K67" i="41"/>
  <c r="K93" i="41"/>
  <c r="B15" i="41"/>
  <c r="I5" i="43" s="1"/>
  <c r="F15" i="41"/>
  <c r="G5" i="47" s="1"/>
  <c r="F16" i="41"/>
  <c r="G67" i="41"/>
  <c r="N66" i="41"/>
  <c r="B100" i="41"/>
  <c r="B92" i="41"/>
  <c r="N58" i="41"/>
  <c r="C68" i="41"/>
  <c r="D15" i="41"/>
  <c r="G5" i="45" s="1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24" i="41"/>
  <c r="F231" i="41"/>
  <c r="F230" i="41"/>
  <c r="J11" i="47"/>
  <c r="F232" i="41"/>
  <c r="F234" i="41"/>
  <c r="F228" i="41"/>
  <c r="F235" i="41"/>
  <c r="I5" i="53"/>
  <c r="B67" i="41"/>
  <c r="C12" i="43" l="1"/>
  <c r="C13" i="59"/>
  <c r="C11" i="50"/>
  <c r="C11" i="47"/>
  <c r="C11" i="49"/>
  <c r="C11" i="54"/>
  <c r="C11" i="52"/>
  <c r="C11" i="48"/>
  <c r="C11" i="46"/>
  <c r="C11" i="45"/>
  <c r="C11" i="53"/>
  <c r="C11" i="51"/>
  <c r="C12" i="54"/>
  <c r="C12" i="52"/>
  <c r="C12" i="46"/>
  <c r="C12" i="45"/>
  <c r="C12" i="47"/>
  <c r="C12" i="49"/>
  <c r="C12" i="48"/>
  <c r="C12" i="51"/>
  <c r="C12" i="50"/>
  <c r="C12" i="53"/>
  <c r="C10" i="51"/>
  <c r="C10" i="50"/>
  <c r="C10" i="47"/>
  <c r="C10" i="49"/>
  <c r="C10" i="48"/>
  <c r="C10" i="45"/>
  <c r="C10" i="52"/>
  <c r="C10" i="46"/>
  <c r="C10" i="53"/>
  <c r="C10" i="54"/>
  <c r="J137" i="41"/>
  <c r="L21" i="41"/>
  <c r="M137" i="41"/>
  <c r="K137" i="41"/>
  <c r="C11" i="43"/>
  <c r="F81" i="41"/>
  <c r="F82" i="41"/>
  <c r="F80" i="41"/>
  <c r="F84" i="41"/>
  <c r="F79" i="41"/>
  <c r="F73" i="41"/>
  <c r="F75" i="41"/>
  <c r="F78" i="41"/>
  <c r="F83" i="41"/>
  <c r="G5" i="52"/>
  <c r="F74" i="41"/>
  <c r="I7" i="46"/>
  <c r="F137" i="41"/>
  <c r="F76" i="41"/>
  <c r="J7" i="47"/>
  <c r="L27" i="41"/>
  <c r="J5" i="53"/>
  <c r="I5" i="54"/>
  <c r="C10" i="43"/>
  <c r="H236" i="41"/>
  <c r="G7" i="51"/>
  <c r="B25" i="41"/>
  <c r="I137" i="41"/>
  <c r="M236" i="41"/>
  <c r="B49" i="41"/>
  <c r="L25" i="41"/>
  <c r="J5" i="43"/>
  <c r="B28" i="41"/>
  <c r="B23" i="41"/>
  <c r="B31" i="41"/>
  <c r="B21" i="41"/>
  <c r="B27" i="41"/>
  <c r="M27" i="41"/>
  <c r="G7" i="50"/>
  <c r="B24" i="41"/>
  <c r="L236" i="41"/>
  <c r="B22" i="41"/>
  <c r="B26" i="41"/>
  <c r="B30" i="41"/>
  <c r="B32" i="41"/>
  <c r="M84" i="41"/>
  <c r="G80" i="41"/>
  <c r="E137" i="41"/>
  <c r="L137" i="41"/>
  <c r="B137" i="41"/>
  <c r="D74" i="41"/>
  <c r="J5" i="54"/>
  <c r="M23" i="41"/>
  <c r="M22" i="41"/>
  <c r="M82" i="41"/>
  <c r="M21" i="41"/>
  <c r="M75" i="41"/>
  <c r="M30" i="41"/>
  <c r="M73" i="41"/>
  <c r="M78" i="41"/>
  <c r="M81" i="41"/>
  <c r="M80" i="41"/>
  <c r="M74" i="41"/>
  <c r="M76" i="41"/>
  <c r="M32" i="41"/>
  <c r="M77" i="41"/>
  <c r="M31" i="41"/>
  <c r="M28" i="41"/>
  <c r="M26" i="41"/>
  <c r="M83" i="41"/>
  <c r="M25" i="41"/>
  <c r="M79" i="41"/>
  <c r="M29" i="41"/>
  <c r="J5" i="52"/>
  <c r="K32" i="41"/>
  <c r="K26" i="41"/>
  <c r="K30" i="41"/>
  <c r="K28" i="41"/>
  <c r="K24" i="41"/>
  <c r="K29" i="41"/>
  <c r="K25" i="41"/>
  <c r="K21" i="41"/>
  <c r="K31" i="41"/>
  <c r="K23" i="41"/>
  <c r="K22" i="41"/>
  <c r="L24" i="41"/>
  <c r="L22" i="41"/>
  <c r="L29" i="41"/>
  <c r="L31" i="41"/>
  <c r="L26" i="41"/>
  <c r="L28" i="41"/>
  <c r="L23" i="41"/>
  <c r="K27" i="41"/>
  <c r="L32" i="41"/>
  <c r="J7" i="50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0" i="41"/>
  <c r="F32" i="41"/>
  <c r="F26" i="41"/>
  <c r="F23" i="41"/>
  <c r="G7" i="52"/>
  <c r="I7" i="52"/>
  <c r="G7" i="45"/>
  <c r="I7" i="45"/>
  <c r="J5" i="46"/>
  <c r="E30" i="41"/>
  <c r="E24" i="41"/>
  <c r="E28" i="41"/>
  <c r="E32" i="41"/>
  <c r="E22" i="41"/>
  <c r="E27" i="41"/>
  <c r="E25" i="41"/>
  <c r="E23" i="41"/>
  <c r="E29" i="41"/>
  <c r="E26" i="41"/>
  <c r="E21" i="41"/>
  <c r="E236" i="41"/>
  <c r="F236" i="41"/>
  <c r="J7" i="43"/>
  <c r="B75" i="41"/>
  <c r="B78" i="41"/>
  <c r="B74" i="41"/>
  <c r="B83" i="41"/>
  <c r="B76" i="41"/>
  <c r="B79" i="41"/>
  <c r="B77" i="41"/>
  <c r="B73" i="4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G5" i="49"/>
  <c r="I5" i="49"/>
  <c r="I7" i="47"/>
  <c r="G7" i="47"/>
  <c r="I7" i="49"/>
  <c r="G7" i="49"/>
  <c r="F85" i="41" l="1"/>
  <c r="B33" i="41"/>
  <c r="M85" i="41"/>
  <c r="M33" i="41"/>
  <c r="L33" i="41"/>
  <c r="B85" i="41"/>
  <c r="D85" i="41"/>
  <c r="F33" i="41"/>
  <c r="I33" i="41"/>
  <c r="K33" i="41"/>
  <c r="J33" i="4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<sst xmlns="http://schemas.openxmlformats.org/spreadsheetml/2006/main" count="1171" uniqueCount="201">
  <si>
    <t>Unique Data Sets</t>
    <phoneticPr fontId="0" type="noConversion"/>
  </si>
  <si>
    <t>Average Archive Growth</t>
    <phoneticPr fontId="0" type="noConversion"/>
  </si>
  <si>
    <t>Total Archive Volume</t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</si>
  <si>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</si>
  <si>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</si>
  <si>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</si>
  <si>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</si>
  <si>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</si>
  <si>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</si>
  <si>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</si>
  <si>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</si>
  <si>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</si>
  <si>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</si>
  <si>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</si>
  <si>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</si>
  <si>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</si>
  <si>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</si>
  <si>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</si>
  <si>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Month</t>
  </si>
  <si>
    <t>OB.DAAC</t>
  </si>
  <si>
    <t>User</t>
  </si>
  <si>
    <t>Unique Data set</t>
  </si>
  <si>
    <t>Data users Only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</si>
  <si>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</si>
  <si>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</si>
  <si>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</si>
  <si>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</si>
  <si>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</si>
  <si>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</si>
  <si>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</si>
  <si>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</si>
  <si>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</si>
  <si>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</si>
  <si>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</si>
  <si>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</si>
  <si>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Volume distributed</t>
  </si>
  <si>
    <t>Vol (GB)</t>
  </si>
  <si>
    <t>Number of Users</t>
  </si>
  <si>
    <t>DAAC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</si>
  <si>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</si>
  <si>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</si>
  <si>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</si>
  <si>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</si>
  <si>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</si>
  <si>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</si>
  <si>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</si>
  <si>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</si>
  <si>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</si>
  <si>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</si>
  <si>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</si>
  <si>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</si>
  <si>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</si>
  <si>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</si>
  <si>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</si>
  <si>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</si>
  <si>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</si>
  <si>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</si>
  <si>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</si>
  <si>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</si>
  <si>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</si>
  <si>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</si>
  <si>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FY07</t>
  </si>
  <si>
    <t>Fiscal year</t>
  </si>
  <si>
    <t># of Web Visits, Views, and Visitors by Year</t>
  </si>
  <si>
    <t>Volume (TB)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</si>
  <si>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</si>
  <si>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</si>
  <si>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</si>
  <si>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</si>
  <si>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</si>
  <si>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</si>
  <si>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Not Available</t>
  </si>
  <si>
    <t>Unique Data Sets</t>
    <phoneticPr fontId="0" type="noConversion"/>
  </si>
  <si>
    <t>Average Archive Growth</t>
    <phoneticPr fontId="0" type="noConversion"/>
  </si>
  <si>
    <t>End User Average Distribution Volume</t>
    <phoneticPr fontId="0" type="noConversion"/>
  </si>
  <si>
    <t>If you have any questions or comments, please contact Jeanne Behnke at (301) 614-5326 or jeanne.behnke@nasa.gov.</t>
  </si>
  <si>
    <t>Number of Files distributed (million)</t>
  </si>
  <si>
    <t>This worksheet contains tables of metrics data from each DAAC for fiscal years FY07 to the present. Data includes key metrics and distribution data (files, volume, number of users).</t>
  </si>
  <si>
    <t>Total Archive Vol (TB)</t>
  </si>
  <si>
    <t>FY16</t>
  </si>
  <si>
    <t>LARC ANGE</t>
  </si>
  <si>
    <t>LARC ECS</t>
  </si>
  <si>
    <t>LARC ORDERS</t>
  </si>
  <si>
    <t>LARC SVC</t>
  </si>
  <si>
    <t>LPDAAC
DEM</t>
  </si>
  <si>
    <t>LPDAAC
LTA</t>
  </si>
  <si>
    <t>NSIDCV0</t>
  </si>
  <si>
    <t>PODAACDS</t>
  </si>
  <si>
    <t>LANCE</t>
  </si>
  <si>
    <t xml:space="preserve"> </t>
  </si>
  <si>
    <t>Archive Volume (TB)</t>
  </si>
  <si>
    <t>one week</t>
  </si>
  <si>
    <t>yearly Total</t>
  </si>
  <si>
    <t>This worksheet contains tables of metrics data for LANCE for fiscal years FY10 to the present. Data includes key metrics and distribution data (files, volume, number of users).</t>
  </si>
  <si>
    <t>Total Archive Vol (PB)</t>
  </si>
  <si>
    <t>Average Archive Growth</t>
    <phoneticPr fontId="0" type="noConversion"/>
  </si>
  <si>
    <t>Data User (Registered)</t>
  </si>
  <si>
    <t>*1 Un-registered (Rapid Response and FIRMS users) excluded</t>
  </si>
  <si>
    <t>*2 Represents Production Volume for LANCE</t>
  </si>
  <si>
    <t>FY17</t>
  </si>
  <si>
    <t>from "Data_Users" tab (stage 3, Distinct data users)</t>
  </si>
  <si>
    <t>Above two tables are total (including NRT)</t>
  </si>
  <si>
    <t>using LANCEdistdailysummaryMV</t>
  </si>
  <si>
    <t># of registered users in "NRT" tab of annual report</t>
  </si>
  <si>
    <t>For September data, copy from last year's result</t>
  </si>
  <si>
    <t>Do not modify the upper table</t>
  </si>
  <si>
    <t>2018-09</t>
  </si>
  <si>
    <t>FY18</t>
  </si>
  <si>
    <t>Do not change</t>
  </si>
  <si>
    <t>FY18 total</t>
  </si>
  <si>
    <t xml:space="preserve">From total_users &gt; total distinct users of data and services </t>
  </si>
  <si>
    <t>From web_visits-visitors&gt; total plus LANCE_web_metircs&gt;web  # visit</t>
  </si>
  <si>
    <t>From _summary&gt; Unique data sets</t>
  </si>
  <si>
    <t>From total_users&gt; % of Web Uers using the data</t>
  </si>
  <si>
    <t>From a separate file from Lalit</t>
  </si>
  <si>
    <t>FY2018</t>
  </si>
  <si>
    <t>Result from script1</t>
  </si>
  <si>
    <t>from "Distribution"</t>
  </si>
  <si>
    <t>From Web_Visits-Visitors tab in annual report, not the sum of monthly web visitors</t>
  </si>
  <si>
    <t>From Web_Visits-Visitors tab, not the sum of monthly web visitors</t>
  </si>
  <si>
    <t>LANCE_WebMetrics</t>
  </si>
  <si>
    <t>NRT</t>
  </si>
  <si>
    <t>Source Tab</t>
  </si>
  <si>
    <t>Unique_Product_Counts</t>
  </si>
  <si>
    <t>Web_visits-Visitors</t>
  </si>
  <si>
    <t>Total_Users</t>
  </si>
  <si>
    <t xml:space="preserve"> Archive</t>
  </si>
  <si>
    <t>Archive</t>
  </si>
  <si>
    <t>Total Archive Size</t>
  </si>
  <si>
    <t>Total User</t>
  </si>
  <si>
    <t>Total Volume</t>
  </si>
  <si>
    <t xml:space="preserve"> from NRT tab</t>
  </si>
  <si>
    <t>from "LANCE_WebMetrics"</t>
  </si>
  <si>
    <t>LAADS DAAC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</si>
  <si>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</si>
  <si>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</si>
  <si>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</si>
  <si>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</si>
  <si>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</si>
  <si>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</si>
  <si>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</si>
  <si>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</si>
  <si>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</si>
  <si>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</si>
  <si>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</si>
  <si>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</si>
  <si>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FY18 Total</t>
  </si>
  <si>
    <t>Fy18 Total</t>
  </si>
  <si>
    <t>Fy19 total</t>
  </si>
  <si>
    <t>FY19</t>
  </si>
  <si>
    <t>FY19 total</t>
  </si>
  <si>
    <t>FY18 archive Vol (TB)</t>
  </si>
  <si>
    <t>FY18 archive files (Millions)</t>
  </si>
  <si>
    <t>FY19 archive file (mil)</t>
  </si>
  <si>
    <t>FY19 archive (TB)</t>
  </si>
  <si>
    <t>script5_1, FY19_annual_registered_NRT_Users by month</t>
  </si>
  <si>
    <t>B6:D6</t>
  </si>
  <si>
    <t>FY18 archive files(Millions)</t>
  </si>
  <si>
    <t>(Oct 2018 to Sep 2019)</t>
  </si>
  <si>
    <t>FY 2019</t>
  </si>
  <si>
    <r>
      <t xml:space="preserve">
</t>
    </r>
    <r>
      <rPr>
        <sz val="36"/>
        <rFont val="Arial"/>
        <family val="2"/>
      </rPr>
      <t xml:space="preserve">
EOSDIS DAAC Profiles
FY2019
Part of the Annual Metrics Report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</si>
  <si>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This file contains tables and graphs of FY2019 metrics and trends for each EOSDIS DAAC plus the total. It complements the FY18 EOSDIS-wide metrics in the EOSDIS FY2019 Annual Metrics Report (filename:  FY19AnnualReport.xlsx)
The DAACs are profiled in six charts:
1. Summary for FY 2019
     a. A summary of the FY2019 key metrics per DAAC compared to the EOSDIS Total
2. Distribution and User Trends (Oct 2018 - Sep 2019)
     a. A dashboard charts displaying distribution trends and user behavior for each DAAC over the FY.
3. (DAAC) Multi-Year Total Archive Volume Trend
     a. A plot of the total archive at the DAAC since 2008.
4. (DAAC)  Multi-Year Product Distribution Trend
    a. A plot of the DAAC product distribution since 2008.
5. (DAAC)  Multi-Year Trend for Web Accesses
    a. A plot of the web accesses (visits, views, and visitors) since 2007.
6. (DAAC)  Yearly Percentage of Web Users  Downloading Data
    a. A plot of the percentage of web users that download data from the DAAC since 2008.</t>
    </r>
    <r>
      <rPr>
        <sz val="10"/>
        <color rgb="FFFF0000"/>
        <rFont val="Arial"/>
        <family val="2"/>
      </rPr>
      <t xml:space="preserve">
</t>
    </r>
  </si>
  <si>
    <t>FY2019</t>
  </si>
  <si>
    <t>FY2019 Metrics (Oct 2018 to Sep 2019)</t>
  </si>
  <si>
    <t>NRT (2018)</t>
  </si>
  <si>
    <t>from FY19_annual_NRT_Distribution by month</t>
  </si>
  <si>
    <t>D23 from "LANCE_WebMetrics"</t>
  </si>
  <si>
    <t>These two cells should be modified every year</t>
  </si>
  <si>
    <t>Modify T13:T15 only</t>
  </si>
  <si>
    <t>from "Distribution" tab</t>
  </si>
  <si>
    <t>should be zero</t>
  </si>
  <si>
    <t>NRT B83</t>
  </si>
  <si>
    <t>NRT E83</t>
  </si>
  <si>
    <t>Prepared By:
Lalit Wanchoo, Adnet Systems, Inc.
Young-In Won, Adnet Systems, Inc.
Durga Kafle, Adnet Systems, Inc
Ja Soon Shim, Adnet Systems, Inc
November 2019</t>
  </si>
  <si>
    <t># of Web Visitors-NetInsight</t>
  </si>
  <si>
    <t># of Web Visitors-GA</t>
  </si>
  <si>
    <t>Web User-NetInsight</t>
  </si>
  <si>
    <t>Web User-GA</t>
  </si>
  <si>
    <t># of Web Visits, Views, and Visitors by Year-NetInsight</t>
  </si>
  <si>
    <t># of Web Visits, Views, and Visitors by Year-GA</t>
  </si>
  <si>
    <t>Web Site Visits-NetInsight</t>
  </si>
  <si>
    <t>Web Site Visits-GA</t>
  </si>
  <si>
    <t>webvisit (NetInsighty)</t>
  </si>
  <si>
    <t>webvisit (GA)</t>
  </si>
  <si>
    <t>Distinct Users of EOSDIS Data and Services-NetInsight</t>
  </si>
  <si>
    <t>Web Site Visits -NetInsight</t>
  </si>
  <si>
    <t>Distinct Users of EOSDIS Data and Services-GA</t>
  </si>
  <si>
    <t xml:space="preserve">Web Site Visits-GA </t>
  </si>
  <si>
    <t>Distinct Users-GA</t>
  </si>
  <si>
    <t>Distinct Web Visitor (1 min+)-GA</t>
  </si>
  <si>
    <t>Distinct Users-NetInsight</t>
  </si>
  <si>
    <t>Distinct Web Visitor (1 min+)-NetInsight</t>
  </si>
  <si>
    <t xml:space="preserve">Web Site Visits-NetInsight </t>
  </si>
  <si>
    <t>LANCE Registered Users</t>
  </si>
  <si>
    <t>LANCE Un-registered Users</t>
  </si>
  <si>
    <t>Unique Data Sets</t>
  </si>
  <si>
    <t>Distinct Users of EOSDIS Data and Services-NetInsight*1</t>
  </si>
  <si>
    <t>Distinct Users of EOSDIS Data and Services-GA*1</t>
  </si>
  <si>
    <t>Distinct Web Visitor (1 min+)-NetInsigfht</t>
  </si>
  <si>
    <t>webvisit-NetInsight</t>
  </si>
  <si>
    <t>webvisit-GA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</si>
</sst>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</numFmts>
  <fonts count="2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4">
    <xf numFmtId="0" fontId="0" fillId="0" borderId="0" xfId="0"/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3" fontId="0" fillId="0" borderId="0" xfId="0" applyNumberFormat="1"/>
    <xf numFmtId="167" fontId="5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7" fillId="0" borderId="4" xfId="0" applyFont="1" applyBorder="1" applyAlignment="1">
      <alignment vertical="top" wrapText="1"/>
    </xf>
    <xf numFmtId="0" fontId="3" fillId="0" borderId="0" xfId="13"/>
    <xf numFmtId="43" fontId="3" fillId="0" borderId="0" xfId="14" applyFont="1"/>
    <xf numFmtId="0" fontId="4" fillId="0" borderId="0" xfId="13" applyFont="1" applyAlignment="1">
      <alignment horizontal="center" vertical="center" wrapText="1"/>
    </xf>
    <xf numFmtId="0" fontId="3" fillId="0" borderId="0" xfId="13" applyAlignment="1">
      <alignment vertical="center" wrapText="1"/>
    </xf>
    <xf numFmtId="0" fontId="3" fillId="0" borderId="0" xfId="13" applyNumberFormat="1"/>
    <xf numFmtId="0" fontId="3" fillId="0" borderId="0" xfId="13" applyAlignment="1">
      <alignment horizontal="left"/>
    </xf>
    <xf numFmtId="43" fontId="3" fillId="0" borderId="0" xfId="8" applyFont="1"/>
    <xf numFmtId="169" fontId="3" fillId="0" borderId="0" xfId="8" applyNumberFormat="1" applyFont="1"/>
    <xf numFmtId="0" fontId="4" fillId="0" borderId="0" xfId="13" applyFont="1"/>
    <xf numFmtId="165" fontId="3" fillId="0" borderId="0" xfId="8" applyNumberFormat="1" applyFont="1"/>
    <xf numFmtId="165" fontId="3" fillId="0" borderId="0" xfId="13" applyNumberFormat="1"/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2" fillId="0" borderId="0" xfId="13" applyFo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4" xfId="13" applyNumberFormat="1" applyFont="1" applyBorder="1"/>
    <xf numFmtId="0" fontId="7" fillId="0" borderId="0" xfId="0" applyFont="1"/>
    <xf numFmtId="0" fontId="1" fillId="0" borderId="0" xfId="13" applyFont="1"/>
    <xf numFmtId="165" fontId="1" fillId="0" borderId="0" xfId="8" applyNumberFormat="1" applyFont="1"/>
    <xf numFmtId="0" fontId="7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9" fontId="0" fillId="0" borderId="0" xfId="0" applyNumberForma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 wrapText="1"/>
    </xf>
    <xf numFmtId="14" fontId="17" fillId="6" borderId="21" xfId="11" applyNumberFormat="1" applyFont="1" applyFill="1" applyBorder="1" applyAlignment="1">
      <alignment horizontal="center" vertical="center"/>
    </xf>
    <xf numFmtId="0" fontId="17" fillId="6" borderId="22" xfId="11" applyFont="1" applyFill="1" applyBorder="1" applyAlignment="1">
      <alignment horizontal="center" vertical="center"/>
    </xf>
    <xf numFmtId="166" fontId="17" fillId="6" borderId="23" xfId="11" applyNumberFormat="1" applyFont="1" applyFill="1" applyBorder="1" applyAlignment="1">
      <alignment horizontal="center" vertical="center"/>
    </xf>
    <xf numFmtId="0" fontId="17" fillId="6" borderId="24" xfId="11" applyFont="1" applyFill="1" applyBorder="1" applyAlignment="1">
      <alignment horizontal="center" vertical="center"/>
    </xf>
    <xf numFmtId="166" fontId="17" fillId="6" borderId="27" xfId="11" applyNumberFormat="1" applyFont="1" applyFill="1" applyBorder="1" applyAlignment="1">
      <alignment horizontal="center" vertical="center"/>
    </xf>
    <xf numFmtId="14" fontId="17" fillId="6" borderId="28" xfId="11" applyNumberFormat="1" applyFont="1" applyFill="1" applyBorder="1" applyAlignment="1">
      <alignment horizontal="center" vertical="center"/>
    </xf>
    <xf numFmtId="166" fontId="17" fillId="6" borderId="29" xfId="11" applyNumberFormat="1" applyFont="1" applyFill="1" applyBorder="1" applyAlignment="1">
      <alignment horizontal="center" vertical="center"/>
    </xf>
    <xf numFmtId="14" fontId="17" fillId="6" borderId="30" xfId="11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47" xfId="0" applyFont="1" applyFill="1" applyBorder="1" applyAlignment="1">
      <alignment horizontal="left" wrapText="1"/>
    </xf>
    <xf numFmtId="3" fontId="21" fillId="4" borderId="47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3" fontId="21" fillId="4" borderId="11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3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 indent="1"/>
    </xf>
    <xf numFmtId="3" fontId="14" fillId="4" borderId="10" xfId="0" applyNumberFormat="1" applyFont="1" applyFill="1" applyBorder="1" applyAlignment="1">
      <alignment horizontal="right" vertical="center" wrapText="1" indent="1"/>
    </xf>
    <xf numFmtId="3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11" xfId="0" applyNumberFormat="1" applyFont="1" applyFill="1" applyBorder="1" applyAlignment="1">
      <alignment horizontal="right" vertical="center" wrapText="1" indent="1"/>
    </xf>
    <xf numFmtId="0" fontId="14" fillId="4" borderId="11" xfId="0" applyNumberFormat="1" applyFont="1" applyFill="1" applyBorder="1" applyAlignment="1">
      <alignment horizontal="right" vertical="center" wrapText="1" indent="1"/>
    </xf>
    <xf numFmtId="0" fontId="1" fillId="0" borderId="48" xfId="13" applyFont="1" applyBorder="1"/>
    <xf numFmtId="0" fontId="3" fillId="0" borderId="48" xfId="13" applyBorder="1"/>
    <xf numFmtId="0" fontId="5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6" xfId="0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18" applyFont="1"/>
    <xf numFmtId="0" fontId="1" fillId="0" borderId="0" xfId="18"/>
    <xf numFmtId="0" fontId="0" fillId="0" borderId="48" xfId="0" applyBorder="1" applyAlignment="1">
      <alignment vertical="center" wrapText="1"/>
    </xf>
    <xf numFmtId="167" fontId="0" fillId="0" borderId="48" xfId="0" applyNumberFormat="1" applyFont="1" applyBorder="1" applyAlignment="1">
      <alignment horizontal="center" vertical="center"/>
    </xf>
    <xf numFmtId="43" fontId="1" fillId="0" borderId="0" xfId="8" applyFont="1"/>
    <xf numFmtId="0" fontId="1" fillId="0" borderId="0" xfId="18" applyFont="1"/>
    <xf numFmtId="0" fontId="4" fillId="0" borderId="6" xfId="18" applyFont="1" applyBorder="1" applyAlignment="1">
      <alignment horizontal="center"/>
    </xf>
    <xf numFmtId="0" fontId="1" fillId="0" borderId="12" xfId="18" applyBorder="1"/>
    <xf numFmtId="0" fontId="1" fillId="0" borderId="0" xfId="18" applyBorder="1"/>
    <xf numFmtId="0" fontId="4" fillId="0" borderId="0" xfId="18" applyFont="1" applyAlignment="1">
      <alignment horizontal="center" vertical="center" wrapText="1"/>
    </xf>
    <xf numFmtId="169" fontId="1" fillId="0" borderId="0" xfId="8" applyNumberFormat="1" applyFont="1"/>
    <xf numFmtId="0" fontId="1" fillId="0" borderId="0" xfId="18" applyNumberFormat="1"/>
    <xf numFmtId="0" fontId="0" fillId="0" borderId="0" xfId="0" applyBorder="1" applyAlignment="1"/>
    <xf numFmtId="0" fontId="1" fillId="0" borderId="0" xfId="18" applyFont="1" applyBorder="1"/>
    <xf numFmtId="49" fontId="1" fillId="0" borderId="48" xfId="18" applyNumberFormat="1" applyFont="1" applyBorder="1"/>
    <xf numFmtId="0" fontId="1" fillId="0" borderId="13" xfId="18" applyFont="1" applyBorder="1"/>
    <xf numFmtId="0" fontId="5" fillId="0" borderId="48" xfId="0" applyFont="1" applyBorder="1" applyAlignment="1">
      <alignment horizontal="center"/>
    </xf>
    <xf numFmtId="43" fontId="1" fillId="0" borderId="48" xfId="8" applyFont="1" applyBorder="1"/>
    <xf numFmtId="0" fontId="1" fillId="0" borderId="48" xfId="0" applyFont="1" applyFill="1" applyBorder="1" applyAlignment="1">
      <alignment horizontal="center" wrapText="1"/>
    </xf>
    <xf numFmtId="0" fontId="0" fillId="0" borderId="0" xfId="0" applyBorder="1"/>
    <xf numFmtId="0" fontId="7" fillId="0" borderId="48" xfId="0" applyFont="1" applyBorder="1" applyAlignment="1">
      <alignment horizontal="center" vertical="center" wrapText="1"/>
    </xf>
    <xf numFmtId="0" fontId="0" fillId="0" borderId="48" xfId="0" applyBorder="1"/>
    <xf numFmtId="0" fontId="0" fillId="0" borderId="12" xfId="0" applyBorder="1"/>
    <xf numFmtId="0" fontId="7" fillId="0" borderId="48" xfId="0" applyFont="1" applyFill="1" applyBorder="1" applyAlignment="1">
      <alignment horizontal="center" vertical="center" wrapText="1"/>
    </xf>
    <xf numFmtId="168" fontId="5" fillId="0" borderId="48" xfId="1" applyNumberFormat="1" applyFill="1" applyBorder="1" applyAlignment="1">
      <alignment horizontal="center" vertical="center" wrapText="1"/>
    </xf>
    <xf numFmtId="168" fontId="0" fillId="0" borderId="48" xfId="15" applyNumberFormat="1" applyFont="1" applyBorder="1" applyAlignment="1">
      <alignment horizontal="center" vertical="center"/>
    </xf>
    <xf numFmtId="166" fontId="0" fillId="0" borderId="0" xfId="0" applyNumberFormat="1" applyBorder="1"/>
    <xf numFmtId="165" fontId="7" fillId="0" borderId="0" xfId="8" applyNumberFormat="1" applyFont="1" applyBorder="1" applyAlignment="1">
      <alignment horizontal="center"/>
    </xf>
    <xf numFmtId="165" fontId="1" fillId="0" borderId="12" xfId="8" applyNumberFormat="1" applyFont="1" applyBorder="1"/>
    <xf numFmtId="165" fontId="0" fillId="0" borderId="48" xfId="8" applyNumberFormat="1" applyFont="1" applyBorder="1"/>
    <xf numFmtId="49" fontId="0" fillId="0" borderId="48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3" fontId="14" fillId="4" borderId="47" xfId="0" applyNumberFormat="1" applyFont="1" applyFill="1" applyBorder="1" applyAlignment="1">
      <alignment horizontal="right" vertical="center" wrapText="1" indent="1"/>
    </xf>
    <xf numFmtId="3" fontId="14" fillId="4" borderId="51" xfId="0" applyNumberFormat="1" applyFont="1" applyFill="1" applyBorder="1" applyAlignment="1">
      <alignment horizontal="right" vertical="center" wrapText="1" indent="1"/>
    </xf>
    <xf numFmtId="0" fontId="14" fillId="4" borderId="51" xfId="0" applyNumberFormat="1" applyFont="1" applyFill="1" applyBorder="1" applyAlignment="1">
      <alignment horizontal="right" vertical="center" wrapText="1" indent="1"/>
    </xf>
    <xf numFmtId="171" fontId="14" fillId="4" borderId="51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vertical="top"/>
    </xf>
    <xf numFmtId="0" fontId="0" fillId="0" borderId="52" xfId="0" applyBorder="1"/>
    <xf numFmtId="0" fontId="8" fillId="0" borderId="0" xfId="0" applyFont="1" applyFill="1"/>
    <xf numFmtId="0" fontId="0" fillId="0" borderId="0" xfId="0" applyFill="1"/>
    <xf numFmtId="164" fontId="0" fillId="0" borderId="0" xfId="0" applyNumberFormat="1" applyFill="1"/>
    <xf numFmtId="169" fontId="0" fillId="0" borderId="0" xfId="8" applyNumberFormat="1" applyFont="1" applyFill="1"/>
    <xf numFmtId="43" fontId="0" fillId="0" borderId="0" xfId="8" applyFont="1" applyFill="1"/>
    <xf numFmtId="49" fontId="0" fillId="0" borderId="4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0" fontId="2" fillId="0" borderId="4" xfId="13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3" applyAlignment="1">
      <alignment horizontal="center" vertical="center"/>
    </xf>
    <xf numFmtId="0" fontId="0" fillId="0" borderId="4" xfId="0" applyBorder="1" applyAlignment="1">
      <alignment horizontal="left" vertical="center"/>
    </xf>
    <xf numFmtId="166" fontId="0" fillId="0" borderId="4" xfId="0" applyNumberFormat="1" applyBorder="1" applyAlignment="1">
      <alignment horizontal="center"/>
    </xf>
    <xf numFmtId="165" fontId="0" fillId="0" borderId="4" xfId="8" applyNumberFormat="1" applyFont="1" applyFill="1" applyBorder="1"/>
    <xf numFmtId="0" fontId="26" fillId="0" borderId="0" xfId="18" applyFont="1"/>
    <xf numFmtId="0" fontId="5" fillId="9" borderId="4" xfId="0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vertical="center"/>
    </xf>
    <xf numFmtId="43" fontId="5" fillId="10" borderId="4" xfId="8" applyFont="1" applyFill="1" applyBorder="1" applyAlignment="1">
      <alignment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left" vertical="center"/>
    </xf>
    <xf numFmtId="43" fontId="3" fillId="10" borderId="0" xfId="8" applyFont="1" applyFill="1"/>
    <xf numFmtId="0" fontId="3" fillId="10" borderId="0" xfId="13" applyFill="1"/>
    <xf numFmtId="169" fontId="3" fillId="10" borderId="0" xfId="8" applyNumberFormat="1" applyFont="1" applyFill="1"/>
    <xf numFmtId="167" fontId="5" fillId="10" borderId="4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vertical="center" wrapText="1"/>
    </xf>
    <xf numFmtId="165" fontId="5" fillId="10" borderId="4" xfId="8" applyNumberFormat="1" applyFont="1" applyFill="1" applyBorder="1" applyAlignment="1">
      <alignment vertical="center"/>
    </xf>
    <xf numFmtId="165" fontId="3" fillId="10" borderId="0" xfId="8" applyNumberFormat="1" applyFont="1" applyFill="1"/>
    <xf numFmtId="49" fontId="5" fillId="10" borderId="4" xfId="0" applyNumberFormat="1" applyFont="1" applyFill="1" applyBorder="1" applyAlignment="1">
      <alignment horizontal="center" vertical="center"/>
    </xf>
    <xf numFmtId="165" fontId="0" fillId="10" borderId="4" xfId="8" applyNumberFormat="1" applyFont="1" applyFill="1" applyBorder="1"/>
    <xf numFmtId="43" fontId="0" fillId="10" borderId="4" xfId="0" applyNumberFormat="1" applyFill="1" applyBorder="1"/>
    <xf numFmtId="43" fontId="0" fillId="10" borderId="4" xfId="8" applyFont="1" applyFill="1" applyBorder="1"/>
    <xf numFmtId="43" fontId="0" fillId="11" borderId="4" xfId="8" applyFont="1" applyFill="1" applyBorder="1"/>
    <xf numFmtId="4" fontId="5" fillId="11" borderId="4" xfId="0" applyNumberFormat="1" applyFont="1" applyFill="1" applyBorder="1"/>
    <xf numFmtId="49" fontId="0" fillId="10" borderId="4" xfId="0" applyNumberFormat="1" applyFill="1" applyBorder="1" applyAlignment="1">
      <alignment horizontal="center"/>
    </xf>
    <xf numFmtId="165" fontId="0" fillId="10" borderId="0" xfId="8" applyNumberFormat="1" applyFont="1" applyFill="1"/>
    <xf numFmtId="49" fontId="5" fillId="11" borderId="4" xfId="0" applyNumberFormat="1" applyFont="1" applyFill="1" applyBorder="1" applyAlignment="1">
      <alignment horizontal="center" vertical="center"/>
    </xf>
    <xf numFmtId="49" fontId="5" fillId="11" borderId="48" xfId="0" applyNumberFormat="1" applyFont="1" applyFill="1" applyBorder="1" applyAlignment="1">
      <alignment horizontal="center" vertical="center"/>
    </xf>
    <xf numFmtId="49" fontId="0" fillId="11" borderId="48" xfId="0" applyNumberFormat="1" applyFill="1" applyBorder="1" applyAlignment="1">
      <alignment horizontal="center"/>
    </xf>
    <xf numFmtId="49" fontId="0" fillId="11" borderId="4" xfId="0" applyNumberFormat="1" applyFill="1" applyBorder="1" applyAlignment="1">
      <alignment horizontal="center"/>
    </xf>
    <xf numFmtId="165" fontId="0" fillId="11" borderId="0" xfId="8" applyNumberFormat="1" applyFont="1" applyFill="1"/>
    <xf numFmtId="165" fontId="18" fillId="11" borderId="0" xfId="8" applyNumberFormat="1" applyFont="1" applyFill="1" applyBorder="1"/>
    <xf numFmtId="165" fontId="0" fillId="11" borderId="0" xfId="8" applyNumberFormat="1" applyFont="1" applyFill="1" applyBorder="1"/>
    <xf numFmtId="49" fontId="0" fillId="10" borderId="5" xfId="0" applyNumberFormat="1" applyFill="1" applyBorder="1" applyAlignment="1">
      <alignment horizontal="center"/>
    </xf>
    <xf numFmtId="169" fontId="0" fillId="10" borderId="0" xfId="8" applyNumberFormat="1" applyFont="1" applyFill="1"/>
    <xf numFmtId="43" fontId="0" fillId="10" borderId="0" xfId="8" applyFont="1" applyFill="1"/>
    <xf numFmtId="43" fontId="0" fillId="11" borderId="0" xfId="8" applyFont="1" applyFill="1"/>
    <xf numFmtId="43" fontId="18" fillId="11" borderId="0" xfId="8" applyFont="1" applyFill="1" applyBorder="1"/>
    <xf numFmtId="43" fontId="0" fillId="11" borderId="0" xfId="8" applyFont="1" applyFill="1" applyBorder="1"/>
    <xf numFmtId="4" fontId="0" fillId="11" borderId="0" xfId="0" applyNumberFormat="1" applyFill="1" applyBorder="1" applyAlignment="1">
      <alignment vertical="center"/>
    </xf>
    <xf numFmtId="43" fontId="3" fillId="10" borderId="4" xfId="8" applyFont="1" applyFill="1" applyBorder="1"/>
    <xf numFmtId="3" fontId="5" fillId="10" borderId="4" xfId="0" applyNumberFormat="1" applyFont="1" applyFill="1" applyBorder="1" applyAlignment="1">
      <alignment vertical="center"/>
    </xf>
    <xf numFmtId="0" fontId="0" fillId="10" borderId="0" xfId="0" applyFill="1"/>
    <xf numFmtId="0" fontId="3" fillId="0" borderId="0" xfId="13" applyBorder="1"/>
    <xf numFmtId="0" fontId="3" fillId="10" borderId="48" xfId="13" applyFill="1" applyBorder="1"/>
    <xf numFmtId="167" fontId="5" fillId="10" borderId="48" xfId="0" applyNumberFormat="1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 wrapText="1"/>
    </xf>
    <xf numFmtId="166" fontId="3" fillId="10" borderId="48" xfId="13" applyNumberFormat="1" applyFill="1" applyBorder="1" applyAlignment="1">
      <alignment horizontal="left"/>
    </xf>
    <xf numFmtId="165" fontId="3" fillId="10" borderId="48" xfId="8" applyNumberFormat="1" applyFont="1" applyFill="1" applyBorder="1"/>
    <xf numFmtId="49" fontId="3" fillId="10" borderId="48" xfId="13" applyNumberFormat="1" applyFill="1" applyBorder="1"/>
    <xf numFmtId="165" fontId="5" fillId="10" borderId="48" xfId="8" applyNumberFormat="1" applyFont="1" applyFill="1" applyBorder="1" applyAlignment="1">
      <alignment horizontal="center" vertical="center"/>
    </xf>
    <xf numFmtId="165" fontId="5" fillId="10" borderId="48" xfId="8" applyNumberFormat="1" applyFont="1" applyFill="1" applyBorder="1" applyAlignment="1">
      <alignment horizontal="center" vertical="center" wrapText="1"/>
    </xf>
    <xf numFmtId="165" fontId="0" fillId="10" borderId="48" xfId="8" applyNumberFormat="1" applyFont="1" applyFill="1" applyBorder="1" applyAlignment="1">
      <alignment horizontal="center" vertical="center"/>
    </xf>
    <xf numFmtId="0" fontId="0" fillId="10" borderId="4" xfId="0" applyFill="1" applyBorder="1"/>
    <xf numFmtId="165" fontId="1" fillId="10" borderId="0" xfId="8" applyNumberFormat="1" applyFont="1" applyFill="1"/>
    <xf numFmtId="43" fontId="0" fillId="10" borderId="48" xfId="8" applyFont="1" applyFill="1" applyBorder="1"/>
    <xf numFmtId="43" fontId="0" fillId="11" borderId="48" xfId="8" applyFont="1" applyFill="1" applyBorder="1"/>
    <xf numFmtId="4" fontId="5" fillId="11" borderId="48" xfId="0" applyNumberFormat="1" applyFont="1" applyFill="1" applyBorder="1"/>
    <xf numFmtId="43" fontId="0" fillId="10" borderId="48" xfId="0" applyNumberFormat="1" applyFill="1" applyBorder="1"/>
    <xf numFmtId="165" fontId="0" fillId="10" borderId="48" xfId="8" applyNumberFormat="1" applyFont="1" applyFill="1" applyBorder="1"/>
    <xf numFmtId="43" fontId="1" fillId="10" borderId="0" xfId="8" applyFont="1" applyFill="1"/>
    <xf numFmtId="43" fontId="5" fillId="10" borderId="48" xfId="8" applyFont="1" applyFill="1" applyBorder="1" applyAlignment="1">
      <alignment vertical="center"/>
    </xf>
    <xf numFmtId="43" fontId="1" fillId="10" borderId="0" xfId="19" applyFont="1" applyFill="1"/>
    <xf numFmtId="165" fontId="0" fillId="11" borderId="48" xfId="8" applyNumberFormat="1" applyFont="1" applyFill="1" applyBorder="1"/>
    <xf numFmtId="3" fontId="5" fillId="11" borderId="48" xfId="0" applyNumberFormat="1" applyFont="1" applyFill="1" applyBorder="1" applyAlignment="1">
      <alignment vertical="center"/>
    </xf>
    <xf numFmtId="43" fontId="5" fillId="11" borderId="48" xfId="8" applyFont="1" applyFill="1" applyBorder="1" applyAlignment="1">
      <alignment vertical="center"/>
    </xf>
    <xf numFmtId="165" fontId="5" fillId="11" borderId="48" xfId="8" applyNumberFormat="1" applyFont="1" applyFill="1" applyBorder="1" applyAlignment="1">
      <alignment horizontal="center" vertical="center"/>
    </xf>
    <xf numFmtId="165" fontId="5" fillId="11" borderId="48" xfId="8" applyNumberFormat="1" applyFont="1" applyFill="1" applyBorder="1" applyAlignment="1">
      <alignment vertical="center"/>
    </xf>
    <xf numFmtId="165" fontId="5" fillId="10" borderId="48" xfId="8" applyNumberFormat="1" applyFont="1" applyFill="1" applyBorder="1" applyAlignment="1">
      <alignment vertical="center"/>
    </xf>
    <xf numFmtId="165" fontId="1" fillId="11" borderId="0" xfId="8" applyNumberFormat="1" applyFont="1" applyFill="1"/>
    <xf numFmtId="0" fontId="4" fillId="0" borderId="0" xfId="18" applyFont="1" applyBorder="1" applyAlignment="1">
      <alignment horizontal="center"/>
    </xf>
    <xf numFmtId="0" fontId="1" fillId="10" borderId="48" xfId="18" applyFill="1" applyBorder="1"/>
    <xf numFmtId="167" fontId="0" fillId="10" borderId="48" xfId="0" applyNumberFormat="1" applyFont="1" applyFill="1" applyBorder="1" applyAlignment="1">
      <alignment horizontal="center" vertical="center"/>
    </xf>
    <xf numFmtId="166" fontId="1" fillId="10" borderId="48" xfId="18" applyNumberFormat="1" applyFill="1" applyBorder="1"/>
    <xf numFmtId="165" fontId="1" fillId="10" borderId="48" xfId="19" applyNumberFormat="1" applyFont="1" applyFill="1" applyBorder="1"/>
    <xf numFmtId="165" fontId="1" fillId="10" borderId="48" xfId="8" applyNumberFormat="1" applyFont="1" applyFill="1" applyBorder="1"/>
    <xf numFmtId="0" fontId="4" fillId="10" borderId="48" xfId="18" applyFont="1" applyFill="1" applyBorder="1"/>
    <xf numFmtId="0" fontId="4" fillId="10" borderId="48" xfId="18" applyFont="1" applyFill="1" applyBorder="1" applyAlignment="1">
      <alignment horizontal="center" wrapText="1"/>
    </xf>
    <xf numFmtId="49" fontId="1" fillId="10" borderId="48" xfId="18" applyNumberFormat="1" applyFill="1" applyBorder="1"/>
    <xf numFmtId="43" fontId="1" fillId="10" borderId="48" xfId="19" applyFont="1" applyFill="1" applyBorder="1"/>
    <xf numFmtId="0" fontId="1" fillId="10" borderId="0" xfId="18" applyFill="1"/>
    <xf numFmtId="166" fontId="1" fillId="10" borderId="0" xfId="18" applyNumberFormat="1" applyFill="1"/>
    <xf numFmtId="169" fontId="1" fillId="10" borderId="0" xfId="8" applyNumberFormat="1" applyFont="1" applyFill="1"/>
    <xf numFmtId="169" fontId="1" fillId="10" borderId="48" xfId="8" applyNumberFormat="1" applyFont="1" applyFill="1" applyBorder="1"/>
    <xf numFmtId="43" fontId="1" fillId="11" borderId="48" xfId="8" applyFont="1" applyFill="1" applyBorder="1"/>
    <xf numFmtId="0" fontId="0" fillId="11" borderId="48" xfId="0" applyFill="1" applyBorder="1"/>
    <xf numFmtId="0" fontId="0" fillId="10" borderId="48" xfId="0" applyFill="1" applyBorder="1"/>
    <xf numFmtId="165" fontId="4" fillId="0" borderId="0" xfId="8" applyNumberFormat="1" applyFont="1" applyBorder="1" applyAlignment="1">
      <alignment horizontal="center"/>
    </xf>
    <xf numFmtId="167" fontId="5" fillId="0" borderId="48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166" fontId="3" fillId="10" borderId="48" xfId="13" applyNumberFormat="1" applyFill="1" applyBorder="1"/>
    <xf numFmtId="43" fontId="3" fillId="10" borderId="48" xfId="14" applyFont="1" applyFill="1" applyBorder="1"/>
    <xf numFmtId="169" fontId="3" fillId="10" borderId="48" xfId="8" applyNumberFormat="1" applyFont="1" applyFill="1" applyBorder="1"/>
    <xf numFmtId="0" fontId="3" fillId="0" borderId="0" xfId="13" applyFill="1"/>
    <xf numFmtId="169" fontId="3" fillId="0" borderId="0" xfId="8" applyNumberFormat="1" applyFont="1" applyFill="1"/>
    <xf numFmtId="165" fontId="3" fillId="10" borderId="48" xfId="14" applyNumberFormat="1" applyFont="1" applyFill="1" applyBorder="1"/>
    <xf numFmtId="49" fontId="5" fillId="10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center" vertical="center" wrapText="1"/>
    </xf>
    <xf numFmtId="43" fontId="3" fillId="11" borderId="48" xfId="8" applyFont="1" applyFill="1" applyBorder="1"/>
    <xf numFmtId="165" fontId="0" fillId="11" borderId="4" xfId="8" applyNumberFormat="1" applyFont="1" applyFill="1" applyBorder="1"/>
    <xf numFmtId="0" fontId="7" fillId="0" borderId="4" xfId="0" applyFont="1" applyBorder="1" applyAlignment="1">
      <alignment horizontal="center" vertical="top" wrapText="1"/>
    </xf>
    <xf numFmtId="0" fontId="1" fillId="11" borderId="48" xfId="13" applyFont="1" applyFill="1" applyBorder="1"/>
    <xf numFmtId="0" fontId="1" fillId="8" borderId="48" xfId="13" applyFont="1" applyFill="1" applyBorder="1"/>
    <xf numFmtId="165" fontId="3" fillId="11" borderId="48" xfId="8" applyNumberFormat="1" applyFont="1" applyFill="1" applyBorder="1"/>
    <xf numFmtId="0" fontId="2" fillId="10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wrapText="1"/>
    </xf>
    <xf numFmtId="0" fontId="1" fillId="10" borderId="4" xfId="0" applyFont="1" applyFill="1" applyBorder="1" applyAlignment="1">
      <alignment horizontal="center" wrapText="1"/>
    </xf>
    <xf numFmtId="43" fontId="3" fillId="10" borderId="48" xfId="8" applyFont="1" applyFill="1" applyBorder="1"/>
    <xf numFmtId="0" fontId="7" fillId="10" borderId="4" xfId="0" applyFont="1" applyFill="1" applyBorder="1" applyAlignment="1">
      <alignment horizontal="center" vertical="center" wrapText="1"/>
    </xf>
    <xf numFmtId="168" fontId="5" fillId="10" borderId="4" xfId="1" applyNumberFormat="1" applyFill="1" applyBorder="1" applyAlignment="1">
      <alignment horizontal="center" vertical="center" wrapText="1"/>
    </xf>
    <xf numFmtId="168" fontId="0" fillId="10" borderId="4" xfId="15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11" borderId="48" xfId="0" applyFill="1" applyBorder="1" applyAlignment="1">
      <alignment horizontal="center" vertical="center" wrapText="1"/>
    </xf>
    <xf numFmtId="0" fontId="0" fillId="10" borderId="48" xfId="0" applyFill="1" applyBorder="1" applyAlignment="1">
      <alignment vertical="center" wrapText="1"/>
    </xf>
    <xf numFmtId="0" fontId="0" fillId="10" borderId="48" xfId="0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left" vertical="center"/>
    </xf>
    <xf numFmtId="3" fontId="5" fillId="10" borderId="48" xfId="0" applyNumberFormat="1" applyFont="1" applyFill="1" applyBorder="1" applyAlignment="1">
      <alignment vertical="center"/>
    </xf>
    <xf numFmtId="0" fontId="0" fillId="11" borderId="48" xfId="0" applyFont="1" applyFill="1" applyBorder="1" applyAlignment="1">
      <alignment horizontal="center" vertical="center"/>
    </xf>
    <xf numFmtId="0" fontId="1" fillId="11" borderId="0" xfId="18" applyFont="1" applyFill="1"/>
    <xf numFmtId="43" fontId="1" fillId="11" borderId="0" xfId="8" applyFont="1" applyFill="1"/>
    <xf numFmtId="0" fontId="5" fillId="11" borderId="48" xfId="0" applyFont="1" applyFill="1" applyBorder="1" applyAlignment="1">
      <alignment horizontal="left" vertical="center"/>
    </xf>
    <xf numFmtId="0" fontId="0" fillId="10" borderId="49" xfId="0" applyFill="1" applyBorder="1"/>
    <xf numFmtId="165" fontId="0" fillId="10" borderId="0" xfId="8" applyNumberFormat="1" applyFont="1" applyFill="1" applyBorder="1"/>
    <xf numFmtId="168" fontId="1" fillId="0" borderId="0" xfId="18" applyNumberFormat="1"/>
    <xf numFmtId="169" fontId="0" fillId="10" borderId="48" xfId="8" applyNumberFormat="1" applyFont="1" applyFill="1" applyBorder="1"/>
    <xf numFmtId="0" fontId="7" fillId="10" borderId="48" xfId="0" applyFont="1" applyFill="1" applyBorder="1" applyAlignment="1">
      <alignment horizontal="center" vertical="center" wrapText="1"/>
    </xf>
    <xf numFmtId="0" fontId="7" fillId="11" borderId="48" xfId="0" applyFont="1" applyFill="1" applyBorder="1" applyAlignment="1">
      <alignment horizontal="center" vertical="center" wrapText="1"/>
    </xf>
    <xf numFmtId="169" fontId="0" fillId="11" borderId="48" xfId="8" applyNumberFormat="1" applyFont="1" applyFill="1" applyBorder="1"/>
    <xf numFmtId="0" fontId="0" fillId="10" borderId="4" xfId="0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1" fillId="10" borderId="48" xfId="0" applyFont="1" applyFill="1" applyBorder="1" applyAlignment="1">
      <alignment horizontal="center" wrapText="1"/>
    </xf>
    <xf numFmtId="43" fontId="1" fillId="10" borderId="48" xfId="8" applyFont="1" applyFill="1" applyBorder="1"/>
    <xf numFmtId="0" fontId="1" fillId="10" borderId="48" xfId="18" applyFont="1" applyFill="1" applyBorder="1" applyAlignment="1">
      <alignment horizontal="center"/>
    </xf>
    <xf numFmtId="165" fontId="3" fillId="11" borderId="0" xfId="8" applyNumberFormat="1" applyFont="1" applyFill="1"/>
    <xf numFmtId="0" fontId="27" fillId="0" borderId="0" xfId="0" applyFont="1"/>
    <xf numFmtId="0" fontId="21" fillId="3" borderId="47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8" fillId="0" borderId="0" xfId="0" applyFont="1" applyFill="1" applyAlignment="1"/>
    <xf numFmtId="49" fontId="28" fillId="0" borderId="0" xfId="0" applyNumberFormat="1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horizontal="left" vertical="top" wrapText="1"/>
    </xf>
    <xf numFmtId="49" fontId="28" fillId="0" borderId="0" xfId="0" applyNumberFormat="1" applyFont="1" applyFill="1" applyBorder="1" applyAlignment="1">
      <alignment horizontal="left" vertical="top"/>
    </xf>
    <xf numFmtId="0" fontId="0" fillId="10" borderId="48" xfId="0" applyFont="1" applyFill="1" applyBorder="1" applyAlignment="1">
      <alignment horizontal="left" vertical="center"/>
    </xf>
    <xf numFmtId="3" fontId="21" fillId="7" borderId="47" xfId="0" applyNumberFormat="1" applyFont="1" applyFill="1" applyBorder="1" applyAlignment="1">
      <alignment horizontal="center" vertical="center" wrapText="1"/>
    </xf>
    <xf numFmtId="3" fontId="21" fillId="7" borderId="11" xfId="0" applyNumberFormat="1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wrapText="1"/>
    </xf>
    <xf numFmtId="43" fontId="3" fillId="11" borderId="0" xfId="8" applyFont="1" applyFill="1" applyBorder="1"/>
    <xf numFmtId="168" fontId="0" fillId="11" borderId="0" xfId="15" applyNumberFormat="1" applyFont="1" applyFill="1" applyBorder="1" applyAlignment="1">
      <alignment horizontal="center" vertical="center"/>
    </xf>
    <xf numFmtId="165" fontId="0" fillId="0" borderId="0" xfId="8" applyNumberFormat="1" applyFont="1" applyFill="1"/>
    <xf numFmtId="0" fontId="1" fillId="0" borderId="0" xfId="18" applyAlignment="1">
      <alignment horizontal="left" vertical="top"/>
    </xf>
    <xf numFmtId="43" fontId="3" fillId="0" borderId="0" xfId="8" applyFont="1" applyFill="1"/>
    <xf numFmtId="165" fontId="3" fillId="0" borderId="48" xfId="8" applyNumberFormat="1" applyFont="1" applyBorder="1"/>
    <xf numFmtId="0" fontId="3" fillId="0" borderId="48" xfId="13" applyBorder="1" applyAlignment="1">
      <alignment horizontal="center" vertical="center"/>
    </xf>
    <xf numFmtId="0" fontId="3" fillId="0" borderId="48" xfId="13" applyBorder="1" applyAlignment="1">
      <alignment vertical="center"/>
    </xf>
    <xf numFmtId="0" fontId="1" fillId="0" borderId="48" xfId="13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5" fontId="7" fillId="0" borderId="0" xfId="8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" fillId="0" borderId="48" xfId="0" applyNumberFormat="1" applyFont="1" applyBorder="1"/>
    <xf numFmtId="3" fontId="1" fillId="12" borderId="48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0" fontId="21" fillId="3" borderId="11" xfId="0" applyFont="1" applyFill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 vertical="center" wrapText="1"/>
    </xf>
    <xf numFmtId="0" fontId="14" fillId="3" borderId="51" xfId="0" applyFont="1" applyFill="1" applyBorder="1" applyAlignment="1">
      <alignment horizontal="left" vertical="center" wrapText="1"/>
    </xf>
    <xf numFmtId="168" fontId="16" fillId="7" borderId="38" xfId="11" applyNumberFormat="1" applyFont="1" applyFill="1" applyBorder="1" applyAlignment="1" applyProtection="1">
      <alignment horizontal="center" vertical="center"/>
    </xf>
    <xf numFmtId="168" fontId="16" fillId="7" borderId="39" xfId="1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7" borderId="37" xfId="11" applyFont="1" applyFill="1" applyBorder="1" applyAlignment="1">
      <alignment horizontal="center" vertical="center"/>
    </xf>
    <xf numFmtId="0" fontId="15" fillId="7" borderId="40" xfId="11" applyFont="1" applyFill="1" applyBorder="1" applyAlignment="1">
      <alignment horizontal="center" vertical="center"/>
    </xf>
    <xf numFmtId="171" fontId="16" fillId="7" borderId="35" xfId="11" applyNumberFormat="1" applyFont="1" applyFill="1" applyBorder="1" applyAlignment="1" applyProtection="1">
      <alignment horizontal="center" vertical="center"/>
    </xf>
    <xf numFmtId="171" fontId="16" fillId="7" borderId="25" xfId="11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17" fillId="6" borderId="20" xfId="1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14" fillId="4" borderId="25" xfId="0" applyNumberFormat="1" applyFont="1" applyFill="1" applyBorder="1" applyAlignment="1">
      <alignment horizontal="center" vertical="center" wrapText="1"/>
    </xf>
    <xf numFmtId="167" fontId="0" fillId="0" borderId="25" xfId="0" applyNumberFormat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170" fontId="14" fillId="7" borderId="35" xfId="8" applyNumberFormat="1" applyFont="1" applyFill="1" applyBorder="1" applyAlignment="1">
      <alignment horizontal="center" vertical="center"/>
    </xf>
    <xf numFmtId="170" fontId="0" fillId="7" borderId="25" xfId="8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3" fontId="5" fillId="7" borderId="36" xfId="13" applyNumberFormat="1" applyFont="1" applyFill="1" applyBorder="1" applyAlignment="1">
      <alignment vertical="center"/>
    </xf>
    <xf numFmtId="3" fontId="5" fillId="7" borderId="41" xfId="13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 wrapText="1"/>
    </xf>
    <xf numFmtId="3" fontId="14" fillId="4" borderId="25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7" borderId="43" xfId="11" applyFont="1" applyFill="1" applyBorder="1" applyAlignment="1">
      <alignment horizontal="center" vertical="center"/>
    </xf>
    <xf numFmtId="168" fontId="16" fillId="7" borderId="53" xfId="11" applyNumberFormat="1" applyFont="1" applyFill="1" applyBorder="1" applyAlignment="1" applyProtection="1">
      <alignment horizontal="center" vertical="center"/>
    </xf>
    <xf numFmtId="3" fontId="16" fillId="7" borderId="25" xfId="11" applyNumberFormat="1" applyFont="1" applyFill="1" applyBorder="1" applyAlignment="1" applyProtection="1">
      <alignment horizontal="center" vertical="center"/>
    </xf>
    <xf numFmtId="3" fontId="16" fillId="7" borderId="42" xfId="11" applyNumberFormat="1" applyFont="1" applyFill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 wrapText="1"/>
    </xf>
    <xf numFmtId="3" fontId="5" fillId="7" borderId="34" xfId="13" applyNumberFormat="1" applyFont="1" applyFill="1" applyBorder="1" applyAlignment="1">
      <alignment vertical="center"/>
    </xf>
    <xf numFmtId="1" fontId="16" fillId="7" borderId="25" xfId="11" applyNumberFormat="1" applyFont="1" applyFill="1" applyBorder="1" applyAlignment="1" applyProtection="1">
      <alignment horizontal="center" vertical="center"/>
    </xf>
    <xf numFmtId="1" fontId="16" fillId="7" borderId="42" xfId="11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167" fontId="16" fillId="7" borderId="35" xfId="11" applyNumberFormat="1" applyFont="1" applyFill="1" applyBorder="1" applyAlignment="1" applyProtection="1">
      <alignment horizontal="center" vertical="center"/>
    </xf>
    <xf numFmtId="167" fontId="16" fillId="7" borderId="25" xfId="11" applyNumberFormat="1" applyFont="1" applyFill="1" applyBorder="1" applyAlignment="1" applyProtection="1">
      <alignment horizontal="center" vertical="center"/>
    </xf>
    <xf numFmtId="171" fontId="14" fillId="4" borderId="25" xfId="0" applyNumberFormat="1" applyFont="1" applyFill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171" fontId="14" fillId="7" borderId="35" xfId="8" applyNumberFormat="1" applyFont="1" applyFill="1" applyBorder="1" applyAlignment="1">
      <alignment horizontal="center" vertical="center"/>
    </xf>
    <xf numFmtId="171" fontId="0" fillId="7" borderId="25" xfId="8" applyNumberFormat="1" applyFont="1" applyFill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168" fontId="16" fillId="7" borderId="44" xfId="11" applyNumberFormat="1" applyFont="1" applyFill="1" applyBorder="1" applyAlignment="1" applyProtection="1">
      <alignment horizontal="center" vertical="center"/>
    </xf>
    <xf numFmtId="3" fontId="5" fillId="7" borderId="45" xfId="13" applyNumberFormat="1" applyFont="1" applyFill="1" applyBorder="1" applyAlignment="1">
      <alignment vertical="center"/>
    </xf>
    <xf numFmtId="3" fontId="5" fillId="7" borderId="46" xfId="13" applyNumberFormat="1" applyFont="1" applyFill="1" applyBorder="1" applyAlignment="1">
      <alignment vertical="center"/>
    </xf>
    <xf numFmtId="3" fontId="14" fillId="4" borderId="25" xfId="0" applyNumberFormat="1" applyFont="1" applyFill="1" applyBorder="1" applyAlignment="1">
      <alignment horizontal="left" vertical="center" wrapText="1" indent="2"/>
    </xf>
    <xf numFmtId="3" fontId="0" fillId="0" borderId="42" xfId="0" applyNumberFormat="1" applyBorder="1" applyAlignment="1">
      <alignment horizontal="left" vertical="center" wrapText="1" indent="2"/>
    </xf>
    <xf numFmtId="0" fontId="15" fillId="7" borderId="40" xfId="11" applyFont="1" applyFill="1" applyBorder="1" applyAlignment="1">
      <alignment vertical="center"/>
    </xf>
    <xf numFmtId="0" fontId="15" fillId="7" borderId="43" xfId="11" applyFont="1" applyFill="1" applyBorder="1" applyAlignment="1">
      <alignment vertical="center"/>
    </xf>
    <xf numFmtId="3" fontId="16" fillId="7" borderId="25" xfId="11" applyNumberFormat="1" applyFont="1" applyFill="1" applyBorder="1" applyAlignment="1" applyProtection="1">
      <alignment horizontal="left" vertical="center" indent="2"/>
    </xf>
    <xf numFmtId="3" fontId="16" fillId="7" borderId="42" xfId="11" applyNumberFormat="1" applyFont="1" applyFill="1" applyBorder="1" applyAlignment="1" applyProtection="1">
      <alignment horizontal="left" vertical="center" indent="2"/>
    </xf>
    <xf numFmtId="3" fontId="5" fillId="7" borderId="36" xfId="18" applyNumberFormat="1" applyFont="1" applyFill="1" applyBorder="1" applyAlignment="1">
      <alignment vertical="center"/>
    </xf>
    <xf numFmtId="3" fontId="5" fillId="7" borderId="41" xfId="18" applyNumberFormat="1" applyFont="1" applyFill="1" applyBorder="1" applyAlignment="1">
      <alignment vertical="center"/>
    </xf>
    <xf numFmtId="3" fontId="5" fillId="7" borderId="34" xfId="18" applyNumberFormat="1" applyFont="1" applyFill="1" applyBorder="1" applyAlignment="1">
      <alignment vertical="center"/>
    </xf>
    <xf numFmtId="0" fontId="4" fillId="0" borderId="0" xfId="13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13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165" fontId="4" fillId="0" borderId="0" xfId="8" applyNumberFormat="1" applyFont="1" applyBorder="1" applyAlignment="1">
      <alignment horizontal="center" wrapText="1"/>
    </xf>
    <xf numFmtId="165" fontId="7" fillId="0" borderId="0" xfId="8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4" fillId="0" borderId="6" xfId="13" applyFont="1" applyBorder="1" applyAlignment="1">
      <alignment horizontal="center" wrapText="1"/>
    </xf>
    <xf numFmtId="0" fontId="0" fillId="0" borderId="6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0">
    <cellStyle name="Comma" xfId="8" builtinId="3"/>
    <cellStyle name="Comma 2" xfId="2" xr:uid="{00000000-0005-0000-0000-000001000000}"/>
    <cellStyle name="Comma 3" xfId="12" xr:uid="{00000000-0005-0000-0000-000002000000}"/>
    <cellStyle name="Comma 4" xfId="14" xr:uid="{00000000-0005-0000-0000-000003000000}"/>
    <cellStyle name="Comma 4 2" xfId="19" xr:uid="{00000000-0005-0000-0000-000004000000}"/>
    <cellStyle name="Comma 6 2" xfId="6" xr:uid="{00000000-0005-0000-0000-000005000000}"/>
    <cellStyle name="Comma 8" xfId="7" xr:uid="{00000000-0005-0000-0000-000006000000}"/>
    <cellStyle name="Followed Hyperlink" xfId="17" builtinId="9" hidden="1"/>
    <cellStyle name="Hyperlink" xfId="16" builtinId="8" hidden="1"/>
    <cellStyle name="Neutral 2" xfId="10" xr:uid="{00000000-0005-0000-0000-000009000000}"/>
    <cellStyle name="Normal" xfId="0" builtinId="0"/>
    <cellStyle name="Normal 2" xfId="1" xr:uid="{00000000-0005-0000-0000-00000B000000}"/>
    <cellStyle name="Normal 2 2" xfId="4" xr:uid="{00000000-0005-0000-0000-00000C000000}"/>
    <cellStyle name="Normal 3" xfId="9" xr:uid="{00000000-0005-0000-0000-00000D000000}"/>
    <cellStyle name="Normal 3 2" xfId="11" xr:uid="{00000000-0005-0000-0000-00000E000000}"/>
    <cellStyle name="Normal 4" xfId="3" xr:uid="{00000000-0005-0000-0000-00000F000000}"/>
    <cellStyle name="Normal 5" xfId="13" xr:uid="{00000000-0005-0000-0000-000010000000}"/>
    <cellStyle name="Normal 5 2" xfId="18" xr:uid="{00000000-0005-0000-0000-000011000000}"/>
    <cellStyle name="Percent" xfId="15" builtinId="5"/>
    <cellStyle name="Percent 2" xfId="5" xr:uid="{00000000-0005-0000-0000-000013000000}"/>
  </cellStyles>
  <dxfs count="0"/>
  <tableStyles count="0" defaultTableStyle="TableStyleMedium2" defaultPivotStyle="PivotStyleLight16"/>
  <colors>
    <mruColors>
      <color rgb="FFFFCC99"/>
      <color rgb="FFF2F0DA"/>
      <color rgb="FFFFCC00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4570670526573293"/>
          <c:y val="3.8412164179891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data!$B$157:$B$168</c:f>
              <c:numCache>
                <c:formatCode>_(* #,##0.00_);_(* \(#,##0.00\);_(* "-"??_);_(@_)</c:formatCode>
                <c:ptCount val="12"/>
                <c:pt idx="0">
                  <c:v>1828.7103789062501</c:v>
                </c:pt>
                <c:pt idx="1">
                  <c:v>2359.018</c:v>
                </c:pt>
                <c:pt idx="2">
                  <c:v>2082.8297632890626</c:v>
                </c:pt>
                <c:pt idx="3">
                  <c:v>1780.1082324218751</c:v>
                </c:pt>
                <c:pt idx="4">
                  <c:v>2167.0134765624998</c:v>
                </c:pt>
                <c:pt idx="5">
                  <c:v>2806.56</c:v>
                </c:pt>
                <c:pt idx="6">
                  <c:v>3268.5614688254918</c:v>
                </c:pt>
                <c:pt idx="7">
                  <c:v>3475</c:v>
                </c:pt>
                <c:pt idx="8">
                  <c:v>4159.7939453125</c:v>
                </c:pt>
                <c:pt idx="9">
                  <c:v>4179.5</c:v>
                </c:pt>
                <c:pt idx="10">
                  <c:v>5008.96</c:v>
                </c:pt>
                <c:pt idx="11">
                  <c:v>5554.9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9-1B46-B46A-C5F0D592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7376"/>
        <c:axId val="361725536"/>
      </c:barChart>
      <c:catAx>
        <c:axId val="3617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5536"/>
        <c:crosses val="autoZero"/>
        <c:auto val="1"/>
        <c:lblAlgn val="ctr"/>
        <c:lblOffset val="100"/>
        <c:noMultiLvlLbl val="0"/>
      </c:catAx>
      <c:valAx>
        <c:axId val="36172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data!$E$276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data!$E$277:$E$289</c:f>
              <c:numCache>
                <c:formatCode>_(* #,##0_);_(* \(#,##0\);_(* "-"??_);_(@_)</c:formatCode>
                <c:ptCount val="13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  <c:pt idx="9">
                  <c:v>65720</c:v>
                </c:pt>
                <c:pt idx="10">
                  <c:v>108364</c:v>
                </c:pt>
                <c:pt idx="11">
                  <c:v>161646</c:v>
                </c:pt>
                <c:pt idx="12">
                  <c:v>227634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D-8C4D-83D4-812BA3AA57A9}"/>
            </c:ext>
          </c:extLst>
        </c:ser>
        <c:ser>
          <c:idx val="1"/>
          <c:order val="1"/>
          <c:tx>
            <c:strRef>
              <c:f>data!$F$276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data!$F$277:$F$289</c:f>
              <c:numCache>
                <c:formatCode>_(* #,##0_);_(* \(#,##0\);_(* "-"??_);_(@_)</c:formatCode>
                <c:ptCount val="13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  <c:pt idx="9">
                  <c:v>295582</c:v>
                </c:pt>
                <c:pt idx="10">
                  <c:v>388556</c:v>
                </c:pt>
                <c:pt idx="11">
                  <c:v>551398</c:v>
                </c:pt>
                <c:pt idx="12">
                  <c:v>831919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D-8C4D-83D4-812BA3AA57A9}"/>
            </c:ext>
          </c:extLst>
        </c:ser>
        <c:ser>
          <c:idx val="2"/>
          <c:order val="2"/>
          <c:tx>
            <c:strRef>
              <c:f>data!$G$276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data!$G$277:$G$289</c:f>
              <c:numCache>
                <c:formatCode>_(* #,##0_);_(* \(#,##0\);_(* "-"??_);_(@_)</c:formatCode>
                <c:ptCount val="13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  <c:pt idx="9">
                  <c:v>41371</c:v>
                </c:pt>
                <c:pt idx="10">
                  <c:v>70696</c:v>
                </c:pt>
                <c:pt idx="11">
                  <c:v>106949</c:v>
                </c:pt>
                <c:pt idx="12">
                  <c:v>134217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D-8C4D-83D4-812BA3AA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28256"/>
        <c:axId val="361713568"/>
      </c:barChart>
      <c:catAx>
        <c:axId val="36172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1476271796111484"/>
              <c:y val="0.91895001711742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3568"/>
        <c:crosses val="autoZero"/>
        <c:auto val="1"/>
        <c:lblAlgn val="ctr"/>
        <c:lblOffset val="100"/>
        <c:noMultiLvlLbl val="0"/>
      </c:catAx>
      <c:valAx>
        <c:axId val="3617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825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data!$D$157:$D$168</c:f>
              <c:numCache>
                <c:formatCode>_(* #,##0.00_);_(* \(#,##0.00\);_(* "-"??_);_(@_)</c:formatCode>
                <c:ptCount val="12"/>
                <c:pt idx="3">
                  <c:v>6.03</c:v>
                </c:pt>
                <c:pt idx="4">
                  <c:v>6.74</c:v>
                </c:pt>
                <c:pt idx="5">
                  <c:v>7.9962792968749996</c:v>
                </c:pt>
                <c:pt idx="6">
                  <c:v>11.422000000000001</c:v>
                </c:pt>
                <c:pt idx="7">
                  <c:v>13.209765624999999</c:v>
                </c:pt>
                <c:pt idx="8">
                  <c:v>17.5</c:v>
                </c:pt>
                <c:pt idx="9">
                  <c:v>20.16</c:v>
                </c:pt>
                <c:pt idx="10">
                  <c:v>16.437886757196779</c:v>
                </c:pt>
                <c:pt idx="11">
                  <c:v>30.91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654C-A331-88093BE5F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14656"/>
        <c:axId val="411529200"/>
      </c:barChart>
      <c:catAx>
        <c:axId val="3617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200"/>
        <c:crosses val="autoZero"/>
        <c:auto val="1"/>
        <c:lblAlgn val="ctr"/>
        <c:lblOffset val="100"/>
        <c:noMultiLvlLbl val="0"/>
      </c:catAx>
      <c:valAx>
        <c:axId val="41152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6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data!$D$171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data!$D$172:$D$183</c:f>
              <c:numCache>
                <c:formatCode>0.0%</c:formatCode>
                <c:ptCount val="12"/>
                <c:pt idx="1">
                  <c:v>0.44433094994892747</c:v>
                </c:pt>
                <c:pt idx="2">
                  <c:v>0.4325581395348837</c:v>
                </c:pt>
                <c:pt idx="3">
                  <c:v>0.46153846153846156</c:v>
                </c:pt>
                <c:pt idx="4">
                  <c:v>0.45710095331214862</c:v>
                </c:pt>
                <c:pt idx="5">
                  <c:v>0.5045189797148022</c:v>
                </c:pt>
                <c:pt idx="6">
                  <c:v>0.46902654867256638</c:v>
                </c:pt>
                <c:pt idx="7">
                  <c:v>0.43352601156069365</c:v>
                </c:pt>
                <c:pt idx="8">
                  <c:v>0.43611111111111112</c:v>
                </c:pt>
                <c:pt idx="9">
                  <c:v>0.42523162178543594</c:v>
                </c:pt>
                <c:pt idx="10">
                  <c:v>0.43991263713937423</c:v>
                </c:pt>
                <c:pt idx="11">
                  <c:v>0.40542324923367129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9-9542-AB11-E2E9AC68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29744"/>
        <c:axId val="411530832"/>
      </c:lineChart>
      <c:catAx>
        <c:axId val="41152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0832"/>
        <c:crosses val="autoZero"/>
        <c:auto val="1"/>
        <c:lblAlgn val="ctr"/>
        <c:lblOffset val="100"/>
        <c:noMultiLvlLbl val="0"/>
      </c:catAx>
      <c:valAx>
        <c:axId val="411530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97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data!$H$256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data!$H$257:$H$269</c:f>
              <c:numCache>
                <c:formatCode>_(* #,##0_);_(* \(#,##0\);_(* "-"??_);_(@_)</c:formatCode>
                <c:ptCount val="13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  <c:pt idx="9">
                  <c:v>10869</c:v>
                </c:pt>
                <c:pt idx="10">
                  <c:v>14866</c:v>
                </c:pt>
                <c:pt idx="11">
                  <c:v>25193</c:v>
                </c:pt>
                <c:pt idx="12">
                  <c:v>26813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1-0E4E-B6CA-136E43B923C6}"/>
            </c:ext>
          </c:extLst>
        </c:ser>
        <c:ser>
          <c:idx val="1"/>
          <c:order val="1"/>
          <c:tx>
            <c:strRef>
              <c:f>data!$I$256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data!$I$257:$I$269</c:f>
              <c:numCache>
                <c:formatCode>_(* #,##0_);_(* \(#,##0\);_(* "-"??_);_(@_)</c:formatCode>
                <c:ptCount val="13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  <c:pt idx="9">
                  <c:v>64554</c:v>
                </c:pt>
                <c:pt idx="10">
                  <c:v>96028</c:v>
                </c:pt>
                <c:pt idx="11">
                  <c:v>276196</c:v>
                </c:pt>
                <c:pt idx="12">
                  <c:v>288632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1-0E4E-B6CA-136E43B923C6}"/>
            </c:ext>
          </c:extLst>
        </c:ser>
        <c:ser>
          <c:idx val="2"/>
          <c:order val="2"/>
          <c:tx>
            <c:strRef>
              <c:f>data!$J$256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data!$J$257:$J$269</c:f>
              <c:numCache>
                <c:formatCode>_(* #,##0_);_(* \(#,##0\);_(* "-"??_);_(@_)</c:formatCode>
                <c:ptCount val="13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  <c:pt idx="9">
                  <c:v>8640</c:v>
                </c:pt>
                <c:pt idx="10">
                  <c:v>11549</c:v>
                </c:pt>
                <c:pt idx="11">
                  <c:v>19688</c:v>
                </c:pt>
                <c:pt idx="12">
                  <c:v>21205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1-0E4E-B6CA-136E43B92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31376"/>
        <c:axId val="411531920"/>
      </c:barChart>
      <c:catAx>
        <c:axId val="41153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1920"/>
        <c:crosses val="autoZero"/>
        <c:auto val="1"/>
        <c:lblAlgn val="ctr"/>
        <c:lblOffset val="100"/>
        <c:noMultiLvlLbl val="0"/>
      </c:catAx>
      <c:valAx>
        <c:axId val="41153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13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668327947176154"/>
          <c:y val="0.15454033245844268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Summary_data!$F$21:$F$33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37.058059999999998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144.29374799999999</c:v>
                </c:pt>
                <c:pt idx="8">
                  <c:v>172.03639100000001</c:v>
                </c:pt>
                <c:pt idx="9">
                  <c:v>316.508622</c:v>
                </c:pt>
                <c:pt idx="10">
                  <c:v>384.034918</c:v>
                </c:pt>
                <c:pt idx="11">
                  <c:v>348.31492200000002</c:v>
                </c:pt>
                <c:pt idx="12">
                  <c:v>390.72035199999999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2-F74A-AE6C-231F48DE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6272"/>
        <c:axId val="411527024"/>
      </c:barChart>
      <c:catAx>
        <c:axId val="41153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7024"/>
        <c:crosses val="autoZero"/>
        <c:auto val="1"/>
        <c:lblAlgn val="ctr"/>
        <c:lblOffset val="100"/>
        <c:noMultiLvlLbl val="0"/>
      </c:catAx>
      <c:valAx>
        <c:axId val="41152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6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data!$H$277:$H$289</c:f>
              <c:numCache>
                <c:formatCode>_(* #,##0_);_(* \(#,##0\);_(* "-"??_);_(@_)</c:formatCode>
                <c:ptCount val="13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  <c:pt idx="9">
                  <c:v>10869</c:v>
                </c:pt>
                <c:pt idx="10">
                  <c:v>14866</c:v>
                </c:pt>
                <c:pt idx="11">
                  <c:v>25193</c:v>
                </c:pt>
                <c:pt idx="12">
                  <c:v>27289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2-2748-A366-1924DC594575}"/>
            </c:ext>
          </c:extLst>
        </c:ser>
        <c:ser>
          <c:idx val="1"/>
          <c:order val="1"/>
          <c:tx>
            <c:strRef>
              <c:f>data!$I$276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data!$I$277:$I$289</c:f>
              <c:numCache>
                <c:formatCode>_(* #,##0_);_(* \(#,##0\);_(* "-"??_);_(@_)</c:formatCode>
                <c:ptCount val="13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  <c:pt idx="9">
                  <c:v>64554</c:v>
                </c:pt>
                <c:pt idx="10">
                  <c:v>96028</c:v>
                </c:pt>
                <c:pt idx="11">
                  <c:v>276196</c:v>
                </c:pt>
                <c:pt idx="12">
                  <c:v>157841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2-2748-A366-1924DC594575}"/>
            </c:ext>
          </c:extLst>
        </c:ser>
        <c:ser>
          <c:idx val="2"/>
          <c:order val="2"/>
          <c:tx>
            <c:strRef>
              <c:f>data!$J$276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data!$J$277:$J$289</c:f>
              <c:numCache>
                <c:formatCode>_(* #,##0_);_(* \(#,##0\);_(* "-"??_);_(@_)</c:formatCode>
                <c:ptCount val="13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  <c:pt idx="9">
                  <c:v>8640</c:v>
                </c:pt>
                <c:pt idx="10">
                  <c:v>11549</c:v>
                </c:pt>
                <c:pt idx="11">
                  <c:v>19688</c:v>
                </c:pt>
                <c:pt idx="12">
                  <c:v>20405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2-2748-A366-1924DC594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30288"/>
        <c:axId val="411536816"/>
      </c:barChart>
      <c:catAx>
        <c:axId val="41153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6816"/>
        <c:crosses val="autoZero"/>
        <c:auto val="1"/>
        <c:lblAlgn val="ctr"/>
        <c:lblOffset val="100"/>
        <c:noMultiLvlLbl val="0"/>
      </c:catAx>
      <c:valAx>
        <c:axId val="4115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0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668327947176154"/>
          <c:y val="0.15454033245844268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LAADS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data!$H$157:$H$168</c:f>
              <c:numCache>
                <c:formatCode>_(* #,##0.00_);_(* \(#,##0.00\);_(* "-"??_);_(@_)</c:formatCode>
                <c:ptCount val="12"/>
                <c:pt idx="0">
                  <c:v>180.68916015625001</c:v>
                </c:pt>
                <c:pt idx="1">
                  <c:v>392.52600000000001</c:v>
                </c:pt>
                <c:pt idx="2">
                  <c:v>768.33581738281248</c:v>
                </c:pt>
                <c:pt idx="3">
                  <c:v>882.08933593749998</c:v>
                </c:pt>
                <c:pt idx="4">
                  <c:v>1159.65796875</c:v>
                </c:pt>
                <c:pt idx="5">
                  <c:v>1543.9236425781251</c:v>
                </c:pt>
                <c:pt idx="6">
                  <c:v>2298.7438358583699</c:v>
                </c:pt>
                <c:pt idx="7">
                  <c:v>5265.4695996093751</c:v>
                </c:pt>
                <c:pt idx="8">
                  <c:v>6075.106201171875</c:v>
                </c:pt>
                <c:pt idx="9">
                  <c:v>5817.7347851562499</c:v>
                </c:pt>
                <c:pt idx="10">
                  <c:v>5239.0061333785934</c:v>
                </c:pt>
                <c:pt idx="11">
                  <c:v>6965.8571582031254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5-3541-9C71-3BA55C72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9536"/>
        <c:axId val="411538448"/>
      </c:barChart>
      <c:catAx>
        <c:axId val="41153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448"/>
        <c:crosses val="autoZero"/>
        <c:auto val="1"/>
        <c:lblAlgn val="ctr"/>
        <c:lblOffset val="100"/>
        <c:noMultiLvlLbl val="0"/>
      </c:catAx>
      <c:valAx>
        <c:axId val="41153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9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data!$H$171</c:f>
              <c:strCache>
                <c:ptCount val="1"/>
                <c:pt idx="0">
                  <c:v>LAADS DAAC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data!$H$172:$H$183</c:f>
              <c:numCache>
                <c:formatCode>0.0%</c:formatCode>
                <c:ptCount val="12"/>
                <c:pt idx="0">
                  <c:v>0.37612140147288553</c:v>
                </c:pt>
                <c:pt idx="1">
                  <c:v>0.3058103975535168</c:v>
                </c:pt>
                <c:pt idx="2">
                  <c:v>0.31578103282369291</c:v>
                </c:pt>
                <c:pt idx="3">
                  <c:v>4.3380262737380361E-2</c:v>
                </c:pt>
                <c:pt idx="4">
                  <c:v>4.3854362508434164E-2</c:v>
                </c:pt>
                <c:pt idx="5">
                  <c:v>5.8026532011448598E-2</c:v>
                </c:pt>
                <c:pt idx="6">
                  <c:v>8.1791067069328469E-2</c:v>
                </c:pt>
                <c:pt idx="7">
                  <c:v>7.4258150022375985E-2</c:v>
                </c:pt>
                <c:pt idx="8">
                  <c:v>4.9782989069920694E-2</c:v>
                </c:pt>
                <c:pt idx="9">
                  <c:v>4.4672441541228819E-2</c:v>
                </c:pt>
                <c:pt idx="10">
                  <c:v>1.7952873706520385E-2</c:v>
                </c:pt>
                <c:pt idx="11">
                  <c:v>2.6685601841538575E-2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6-D443-9B6C-7B757CBE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7904"/>
        <c:axId val="411535728"/>
      </c:lineChart>
      <c:catAx>
        <c:axId val="41153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728"/>
        <c:crosses val="autoZero"/>
        <c:auto val="1"/>
        <c:lblAlgn val="ctr"/>
        <c:lblOffset val="100"/>
        <c:noMultiLvlLbl val="0"/>
      </c:catAx>
      <c:valAx>
        <c:axId val="41153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data!$T$239:$T$251</c:f>
              <c:numCache>
                <c:formatCode>_(* #,##0_);_(* \(#,##0\);_(* "-"??_);_(@_)</c:formatCode>
                <c:ptCount val="13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  <c:pt idx="9">
                  <c:v>412847</c:v>
                </c:pt>
                <c:pt idx="10">
                  <c:v>301594</c:v>
                </c:pt>
                <c:pt idx="11">
                  <c:v>217721</c:v>
                </c:pt>
                <c:pt idx="12">
                  <c:v>145511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F-5E48-BE78-BB2715972A53}"/>
            </c:ext>
          </c:extLst>
        </c:ser>
        <c:ser>
          <c:idx val="1"/>
          <c:order val="1"/>
          <c:tx>
            <c:strRef>
              <c:f>data!$U$238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data!$U$239:$U$251</c:f>
              <c:numCache>
                <c:formatCode>_(* #,##0_);_(* \(#,##0\);_(* "-"??_);_(@_)</c:formatCode>
                <c:ptCount val="13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  <c:pt idx="9">
                  <c:v>4971411</c:v>
                </c:pt>
                <c:pt idx="10">
                  <c:v>3294341</c:v>
                </c:pt>
                <c:pt idx="11">
                  <c:v>3095213</c:v>
                </c:pt>
                <c:pt idx="12">
                  <c:v>1377240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F-5E48-BE78-BB2715972A53}"/>
            </c:ext>
          </c:extLst>
        </c:ser>
        <c:ser>
          <c:idx val="2"/>
          <c:order val="2"/>
          <c:tx>
            <c:strRef>
              <c:f>data!$V$238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data!$V$239:$V$251</c:f>
              <c:numCache>
                <c:formatCode>_(* #,##0_);_(* \(#,##0\);_(* "-"??_);_(@_)</c:formatCode>
                <c:ptCount val="13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  <c:pt idx="9">
                  <c:v>220035</c:v>
                </c:pt>
                <c:pt idx="10">
                  <c:v>169008</c:v>
                </c:pt>
                <c:pt idx="11">
                  <c:v>136357</c:v>
                </c:pt>
                <c:pt idx="12">
                  <c:v>107736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F-5E48-BE78-BB2715972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7568"/>
        <c:axId val="411534096"/>
      </c:barChart>
      <c:catAx>
        <c:axId val="41152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4096"/>
        <c:crosses val="autoZero"/>
        <c:auto val="1"/>
        <c:lblAlgn val="ctr"/>
        <c:lblOffset val="100"/>
        <c:noMultiLvlLbl val="0"/>
      </c:catAx>
      <c:valAx>
        <c:axId val="41153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756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711879662403353"/>
          <c:y val="0.1500463984653415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LAADS 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LAADS DAAC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Summary_data!$J$21:$J$33</c:f>
              <c:numCache>
                <c:formatCode>_(* #,##0.0_);_(* \(#,##0.0\);_(* "-"??_);_(@_)</c:formatCode>
                <c:ptCount val="13"/>
                <c:pt idx="0">
                  <c:v>33.570419000000001</c:v>
                </c:pt>
                <c:pt idx="1">
                  <c:v>47.736139999999999</c:v>
                </c:pt>
                <c:pt idx="2">
                  <c:v>47.205446000000002</c:v>
                </c:pt>
                <c:pt idx="3">
                  <c:v>79.756398000000004</c:v>
                </c:pt>
                <c:pt idx="4">
                  <c:v>98.766036999999997</c:v>
                </c:pt>
                <c:pt idx="5">
                  <c:v>95.246110000000002</c:v>
                </c:pt>
                <c:pt idx="6">
                  <c:v>135.28649799999999</c:v>
                </c:pt>
                <c:pt idx="7">
                  <c:v>196.13767899999999</c:v>
                </c:pt>
                <c:pt idx="8">
                  <c:v>360.64454699999999</c:v>
                </c:pt>
                <c:pt idx="9">
                  <c:v>230.71311800000001</c:v>
                </c:pt>
                <c:pt idx="10">
                  <c:v>107.761906</c:v>
                </c:pt>
                <c:pt idx="11">
                  <c:v>239.952279</c:v>
                </c:pt>
                <c:pt idx="12">
                  <c:v>371.42471999999998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9-4249-8D4A-C2A56BCD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7360"/>
        <c:axId val="411538992"/>
      </c:barChart>
      <c:catAx>
        <c:axId val="41153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8992"/>
        <c:crosses val="autoZero"/>
        <c:auto val="1"/>
        <c:lblAlgn val="ctr"/>
        <c:lblOffset val="100"/>
        <c:noMultiLvlLbl val="0"/>
      </c:catAx>
      <c:valAx>
        <c:axId val="41153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9853097688928"/>
          <c:y val="0.20762413679331257"/>
          <c:w val="0.81643548290533885"/>
          <c:h val="0.62961775994434754"/>
        </c:manualLayout>
      </c:layout>
      <c:lineChart>
        <c:grouping val="standard"/>
        <c:varyColors val="0"/>
        <c:ser>
          <c:idx val="0"/>
          <c:order val="0"/>
          <c:tx>
            <c:strRef>
              <c:f>data!$B$171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data!$B$172:$B$183</c:f>
              <c:numCache>
                <c:formatCode>0.0%</c:formatCode>
                <c:ptCount val="12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  <c:pt idx="8">
                  <c:v>8.9196205948127386E-3</c:v>
                </c:pt>
                <c:pt idx="9">
                  <c:v>8.712842290232831E-3</c:v>
                </c:pt>
                <c:pt idx="10">
                  <c:v>7.1431478692661485E-3</c:v>
                </c:pt>
                <c:pt idx="11">
                  <c:v>5.1523253771541206E-3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1-684B-86FD-C346F2C4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14112"/>
        <c:axId val="361715744"/>
      </c:lineChart>
      <c:catAx>
        <c:axId val="3617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5744"/>
        <c:crosses val="autoZero"/>
        <c:auto val="1"/>
        <c:lblAlgn val="ctr"/>
        <c:lblOffset val="100"/>
        <c:noMultiLvlLbl val="0"/>
      </c:catAx>
      <c:valAx>
        <c:axId val="36171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4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data!$T$277:$T$289</c:f>
              <c:numCache>
                <c:formatCode>_(* #,##0_);_(* \(#,##0\);_(* "-"??_);_(@_)</c:formatCode>
                <c:ptCount val="13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  <c:pt idx="9">
                  <c:v>412847</c:v>
                </c:pt>
                <c:pt idx="10">
                  <c:v>301594</c:v>
                </c:pt>
                <c:pt idx="11">
                  <c:v>217721</c:v>
                </c:pt>
                <c:pt idx="12">
                  <c:v>122447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0-9544-902F-87D7ADC48003}"/>
            </c:ext>
          </c:extLst>
        </c:ser>
        <c:ser>
          <c:idx val="1"/>
          <c:order val="1"/>
          <c:tx>
            <c:strRef>
              <c:f>data!$U$276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data!$U$277:$U$289</c:f>
              <c:numCache>
                <c:formatCode>_(* #,##0_);_(* \(#,##0\);_(* "-"??_);_(@_)</c:formatCode>
                <c:ptCount val="13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  <c:pt idx="9">
                  <c:v>4971411</c:v>
                </c:pt>
                <c:pt idx="10">
                  <c:v>3294341</c:v>
                </c:pt>
                <c:pt idx="11">
                  <c:v>3095213</c:v>
                </c:pt>
                <c:pt idx="12">
                  <c:v>880907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0-9544-902F-87D7ADC48003}"/>
            </c:ext>
          </c:extLst>
        </c:ser>
        <c:ser>
          <c:idx val="2"/>
          <c:order val="2"/>
          <c:tx>
            <c:strRef>
              <c:f>data!$V$276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data!$V$277:$V$289</c:f>
              <c:numCache>
                <c:formatCode>_(* #,##0_);_(* \(#,##0\);_(* "-"??_);_(@_)</c:formatCode>
                <c:ptCount val="13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  <c:pt idx="9">
                  <c:v>220035</c:v>
                </c:pt>
                <c:pt idx="10">
                  <c:v>169008</c:v>
                </c:pt>
                <c:pt idx="11">
                  <c:v>136357</c:v>
                </c:pt>
                <c:pt idx="12">
                  <c:v>62430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0-9544-902F-87D7ADC4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5392"/>
        <c:axId val="411534640"/>
      </c:barChart>
      <c:catAx>
        <c:axId val="41152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34640"/>
        <c:crosses val="autoZero"/>
        <c:auto val="1"/>
        <c:lblAlgn val="ctr"/>
        <c:lblOffset val="100"/>
        <c:noMultiLvlLbl val="0"/>
      </c:catAx>
      <c:valAx>
        <c:axId val="4115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53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711879662403353"/>
          <c:y val="0.15004639846534151"/>
          <c:w val="0.29596809593234891"/>
          <c:h val="0.10609638087865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data!$E$157:$E$168</c:f>
              <c:numCache>
                <c:formatCode>_(* #,##0.00_);_(* \(#,##0.00\);_(* "-"??_);_(@_)</c:formatCode>
                <c:ptCount val="12"/>
                <c:pt idx="0">
                  <c:v>219.88722949218749</c:v>
                </c:pt>
                <c:pt idx="1">
                  <c:v>317.83100000000002</c:v>
                </c:pt>
                <c:pt idx="2">
                  <c:v>381.539158203125</c:v>
                </c:pt>
                <c:pt idx="3">
                  <c:v>422.22720703124997</c:v>
                </c:pt>
                <c:pt idx="4">
                  <c:v>515.71818359375004</c:v>
                </c:pt>
                <c:pt idx="5">
                  <c:v>668.55621093750005</c:v>
                </c:pt>
                <c:pt idx="6">
                  <c:v>775.30918685094673</c:v>
                </c:pt>
                <c:pt idx="7">
                  <c:v>1161.8378222656249</c:v>
                </c:pt>
                <c:pt idx="8">
                  <c:v>1425.640654296875</c:v>
                </c:pt>
                <c:pt idx="9">
                  <c:v>1682.9938281249999</c:v>
                </c:pt>
                <c:pt idx="10">
                  <c:v>2098.7129058316209</c:v>
                </c:pt>
                <c:pt idx="11">
                  <c:v>2478.9318164062502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C34B-A75F-B0D06BC1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3008"/>
        <c:axId val="411532464"/>
      </c:barChart>
      <c:catAx>
        <c:axId val="41153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2464"/>
        <c:crosses val="autoZero"/>
        <c:auto val="1"/>
        <c:lblAlgn val="ctr"/>
        <c:lblOffset val="100"/>
        <c:noMultiLvlLbl val="0"/>
      </c:catAx>
      <c:valAx>
        <c:axId val="41153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0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data!$E$171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data!$E$172:$E$183</c:f>
              <c:numCache>
                <c:formatCode>0.0%</c:formatCode>
                <c:ptCount val="12"/>
                <c:pt idx="0">
                  <c:v>0.16945548561694312</c:v>
                </c:pt>
                <c:pt idx="1">
                  <c:v>0.12795633717404487</c:v>
                </c:pt>
                <c:pt idx="2">
                  <c:v>0.24312821204724699</c:v>
                </c:pt>
                <c:pt idx="3">
                  <c:v>0.25707862269766241</c:v>
                </c:pt>
                <c:pt idx="4">
                  <c:v>0.32813815121172546</c:v>
                </c:pt>
                <c:pt idx="5">
                  <c:v>0.37452845127096934</c:v>
                </c:pt>
                <c:pt idx="6">
                  <c:v>0.41089104025421636</c:v>
                </c:pt>
                <c:pt idx="7">
                  <c:v>0.35548922384829218</c:v>
                </c:pt>
                <c:pt idx="8">
                  <c:v>0.36126485905789485</c:v>
                </c:pt>
                <c:pt idx="9">
                  <c:v>0.38022714452891504</c:v>
                </c:pt>
                <c:pt idx="10">
                  <c:v>0.39628506200495184</c:v>
                </c:pt>
                <c:pt idx="11">
                  <c:v>0.39183681279779559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5-6E42-8A9F-C90F6D39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33552"/>
        <c:axId val="411535184"/>
      </c:lineChart>
      <c:catAx>
        <c:axId val="41153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5184"/>
        <c:crosses val="autoZero"/>
        <c:auto val="1"/>
        <c:lblAlgn val="ctr"/>
        <c:lblOffset val="100"/>
        <c:noMultiLvlLbl val="0"/>
      </c:catAx>
      <c:valAx>
        <c:axId val="41153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33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data!$K$256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data!$K$257:$K$269</c:f>
              <c:numCache>
                <c:formatCode>_(* #,##0_);_(* \(#,##0\);_(* "-"??_);_(@_)</c:formatCode>
                <c:ptCount val="13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  <c:pt idx="9">
                  <c:v>206088</c:v>
                </c:pt>
                <c:pt idx="10">
                  <c:v>190206</c:v>
                </c:pt>
                <c:pt idx="11">
                  <c:v>150117</c:v>
                </c:pt>
                <c:pt idx="12">
                  <c:v>160944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BF4E-B7D3-4652D454B0E5}"/>
            </c:ext>
          </c:extLst>
        </c:ser>
        <c:ser>
          <c:idx val="1"/>
          <c:order val="1"/>
          <c:tx>
            <c:strRef>
              <c:f>data!$L$256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data!$L$257:$L$269</c:f>
              <c:numCache>
                <c:formatCode>_(* #,##0_);_(* \(#,##0\);_(* "-"??_);_(@_)</c:formatCode>
                <c:ptCount val="13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  <c:pt idx="9">
                  <c:v>2180301</c:v>
                </c:pt>
                <c:pt idx="10">
                  <c:v>1902393</c:v>
                </c:pt>
                <c:pt idx="11">
                  <c:v>2584212</c:v>
                </c:pt>
                <c:pt idx="12">
                  <c:v>2185900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BF4E-B7D3-4652D454B0E5}"/>
            </c:ext>
          </c:extLst>
        </c:ser>
        <c:ser>
          <c:idx val="2"/>
          <c:order val="2"/>
          <c:tx>
            <c:strRef>
              <c:f>data!$M$256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data!$M$257:$M$269</c:f>
              <c:numCache>
                <c:formatCode>_(* #,##0_);_(* \(#,##0\);_(* "-"??_);_(@_)</c:formatCode>
                <c:ptCount val="13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  <c:pt idx="9">
                  <c:v>128457</c:v>
                </c:pt>
                <c:pt idx="10">
                  <c:v>118779</c:v>
                </c:pt>
                <c:pt idx="11">
                  <c:v>93299</c:v>
                </c:pt>
                <c:pt idx="12">
                  <c:v>104518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6-BF4E-B7D3-4652D454B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4304"/>
        <c:axId val="411524848"/>
      </c:barChart>
      <c:catAx>
        <c:axId val="41152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4848"/>
        <c:crosses val="autoZero"/>
        <c:auto val="1"/>
        <c:lblAlgn val="ctr"/>
        <c:lblOffset val="100"/>
        <c:noMultiLvlLbl val="0"/>
      </c:catAx>
      <c:valAx>
        <c:axId val="4115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43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53451473040878"/>
          <c:y val="0.18225294239347301"/>
          <c:w val="0.85083581315611434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Summary_data!$G$21:$G$33</c:f>
              <c:numCache>
                <c:formatCode>_(* #,##0.0_);_(* \(#,##0.0\);_(* "-"??_);_(@_)</c:formatCode>
                <c:ptCount val="13"/>
                <c:pt idx="0">
                  <c:v>22.917339999999999</c:v>
                </c:pt>
                <c:pt idx="1">
                  <c:v>38.747579999999999</c:v>
                </c:pt>
                <c:pt idx="2">
                  <c:v>54.500664</c:v>
                </c:pt>
                <c:pt idx="3">
                  <c:v>84.223157999999998</c:v>
                </c:pt>
                <c:pt idx="4">
                  <c:v>133.841386</c:v>
                </c:pt>
                <c:pt idx="5">
                  <c:v>168.67674700000001</c:v>
                </c:pt>
                <c:pt idx="6">
                  <c:v>209.906859</c:v>
                </c:pt>
                <c:pt idx="7">
                  <c:v>283.25595800000002</c:v>
                </c:pt>
                <c:pt idx="8">
                  <c:v>405.060654</c:v>
                </c:pt>
                <c:pt idx="9">
                  <c:v>409.16399200000001</c:v>
                </c:pt>
                <c:pt idx="10">
                  <c:v>257.50330300000002</c:v>
                </c:pt>
                <c:pt idx="11">
                  <c:v>297.73108400000001</c:v>
                </c:pt>
                <c:pt idx="12">
                  <c:v>408.14651099999998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6-B042-8F5B-6A63B7C8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25936"/>
        <c:axId val="411526480"/>
      </c:barChart>
      <c:catAx>
        <c:axId val="41152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6480"/>
        <c:crosses val="autoZero"/>
        <c:auto val="1"/>
        <c:lblAlgn val="ctr"/>
        <c:lblOffset val="100"/>
        <c:noMultiLvlLbl val="0"/>
      </c:catAx>
      <c:valAx>
        <c:axId val="411526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15259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data!$K$277:$K$289</c:f>
              <c:numCache>
                <c:formatCode>_(* #,##0_);_(* \(#,##0\);_(* "-"??_);_(@_)</c:formatCode>
                <c:ptCount val="13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  <c:pt idx="9">
                  <c:v>206088</c:v>
                </c:pt>
                <c:pt idx="10">
                  <c:v>190206</c:v>
                </c:pt>
                <c:pt idx="11">
                  <c:v>150117</c:v>
                </c:pt>
                <c:pt idx="12">
                  <c:v>135008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9D47-9E9A-754A1B610AE0}"/>
            </c:ext>
          </c:extLst>
        </c:ser>
        <c:ser>
          <c:idx val="1"/>
          <c:order val="1"/>
          <c:tx>
            <c:strRef>
              <c:f>data!$L$276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data!$L$277:$L$289</c:f>
              <c:numCache>
                <c:formatCode>_(* #,##0_);_(* \(#,##0\);_(* "-"??_);_(@_)</c:formatCode>
                <c:ptCount val="13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  <c:pt idx="9">
                  <c:v>2180301</c:v>
                </c:pt>
                <c:pt idx="10">
                  <c:v>1902393</c:v>
                </c:pt>
                <c:pt idx="11">
                  <c:v>2584212</c:v>
                </c:pt>
                <c:pt idx="12">
                  <c:v>1030437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1-9D47-9E9A-754A1B610AE0}"/>
            </c:ext>
          </c:extLst>
        </c:ser>
        <c:ser>
          <c:idx val="2"/>
          <c:order val="2"/>
          <c:tx>
            <c:strRef>
              <c:f>data!$M$276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data!$M$277:$M$289</c:f>
              <c:numCache>
                <c:formatCode>_(* #,##0_);_(* \(#,##0\);_(* "-"??_);_(@_)</c:formatCode>
                <c:ptCount val="13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  <c:pt idx="9">
                  <c:v>128457</c:v>
                </c:pt>
                <c:pt idx="10">
                  <c:v>118779</c:v>
                </c:pt>
                <c:pt idx="11">
                  <c:v>93299</c:v>
                </c:pt>
                <c:pt idx="12">
                  <c:v>85292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1-9D47-9E9A-754A1B61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28112"/>
        <c:axId val="411528656"/>
      </c:barChart>
      <c:catAx>
        <c:axId val="41152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656"/>
        <c:crosses val="autoZero"/>
        <c:auto val="1"/>
        <c:lblAlgn val="ctr"/>
        <c:lblOffset val="100"/>
        <c:noMultiLvlLbl val="0"/>
      </c:catAx>
      <c:valAx>
        <c:axId val="4115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281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data!$F$157:$F$168</c:f>
              <c:numCache>
                <c:formatCode>_(* #,##0.00_);_(* \(#,##0.00\);_(* "-"??_);_(@_)</c:formatCode>
                <c:ptCount val="12"/>
                <c:pt idx="0">
                  <c:v>3.435041015625</c:v>
                </c:pt>
                <c:pt idx="1">
                  <c:v>5.3330000000000002</c:v>
                </c:pt>
                <c:pt idx="2">
                  <c:v>6.8242343749999996</c:v>
                </c:pt>
                <c:pt idx="3">
                  <c:v>6.4231972656250003</c:v>
                </c:pt>
                <c:pt idx="4">
                  <c:v>7.0876269531249996</c:v>
                </c:pt>
                <c:pt idx="5">
                  <c:v>9.5370605468750007</c:v>
                </c:pt>
                <c:pt idx="6">
                  <c:v>8.8079055354310096</c:v>
                </c:pt>
                <c:pt idx="7">
                  <c:v>9.8950976562499999</c:v>
                </c:pt>
                <c:pt idx="8">
                  <c:v>13.584150390625</c:v>
                </c:pt>
                <c:pt idx="9">
                  <c:v>16.097031250000001</c:v>
                </c:pt>
                <c:pt idx="10">
                  <c:v>27.6</c:v>
                </c:pt>
                <c:pt idx="11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4-E04B-B4B8-AB65BDD6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2880"/>
        <c:axId val="412580160"/>
      </c:barChart>
      <c:catAx>
        <c:axId val="41258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160"/>
        <c:crosses val="autoZero"/>
        <c:auto val="1"/>
        <c:lblAlgn val="ctr"/>
        <c:lblOffset val="100"/>
        <c:noMultiLvlLbl val="0"/>
      </c:catAx>
      <c:valAx>
        <c:axId val="412580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28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775900532262"/>
          <c:y val="0.14901943669040921"/>
          <c:w val="0.860705078437483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data!$F$171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data!$F$172:$F$183</c:f>
              <c:numCache>
                <c:formatCode>0.0%</c:formatCode>
                <c:ptCount val="12"/>
                <c:pt idx="1">
                  <c:v>0.15365489806066635</c:v>
                </c:pt>
                <c:pt idx="2">
                  <c:v>0.1547310900201323</c:v>
                </c:pt>
                <c:pt idx="3">
                  <c:v>0.18175937904269082</c:v>
                </c:pt>
                <c:pt idx="4">
                  <c:v>0.18018433179723503</c:v>
                </c:pt>
                <c:pt idx="5">
                  <c:v>0.20057361376673041</c:v>
                </c:pt>
                <c:pt idx="6">
                  <c:v>0.21420784883720931</c:v>
                </c:pt>
                <c:pt idx="7">
                  <c:v>0.19592668024439919</c:v>
                </c:pt>
                <c:pt idx="8">
                  <c:v>0.10375166002656043</c:v>
                </c:pt>
                <c:pt idx="9">
                  <c:v>0.15262592428742969</c:v>
                </c:pt>
                <c:pt idx="10">
                  <c:v>0.25718252052148721</c:v>
                </c:pt>
                <c:pt idx="11">
                  <c:v>0.29913370998116762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D647-8CBF-3858311E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7232"/>
        <c:axId val="412581248"/>
      </c:lineChart>
      <c:catAx>
        <c:axId val="41258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248"/>
        <c:crosses val="autoZero"/>
        <c:auto val="1"/>
        <c:lblAlgn val="ctr"/>
        <c:lblOffset val="100"/>
        <c:noMultiLvlLbl val="0"/>
      </c:catAx>
      <c:valAx>
        <c:axId val="412581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7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data!$N$239:$N$251</c:f>
              <c:numCache>
                <c:formatCode>_(* #,##0_);_(* \(#,##0\);_(* "-"??_);_(@_)</c:formatCode>
                <c:ptCount val="13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  <c:pt idx="9">
                  <c:v>17347</c:v>
                </c:pt>
                <c:pt idx="10">
                  <c:v>23160</c:v>
                </c:pt>
                <c:pt idx="11">
                  <c:v>24485</c:v>
                </c:pt>
                <c:pt idx="12">
                  <c:v>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3-BF4B-AA97-570E771FF5FC}"/>
            </c:ext>
          </c:extLst>
        </c:ser>
        <c:ser>
          <c:idx val="1"/>
          <c:order val="1"/>
          <c:tx>
            <c:strRef>
              <c:f>data!$O$238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data!$O$239:$O$251</c:f>
              <c:numCache>
                <c:formatCode>_(* #,##0_);_(* \(#,##0\);_(* "-"??_);_(@_)</c:formatCode>
                <c:ptCount val="13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  <c:pt idx="9">
                  <c:v>140576</c:v>
                </c:pt>
                <c:pt idx="10">
                  <c:v>392057</c:v>
                </c:pt>
                <c:pt idx="11">
                  <c:v>529075</c:v>
                </c:pt>
                <c:pt idx="12">
                  <c:v>382124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3-BF4B-AA97-570E771FF5FC}"/>
            </c:ext>
          </c:extLst>
        </c:ser>
        <c:ser>
          <c:idx val="2"/>
          <c:order val="2"/>
          <c:tx>
            <c:strRef>
              <c:f>data!$P$238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data!$P$239:$P$251</c:f>
              <c:numCache>
                <c:formatCode>_(* #,##0_);_(* \(#,##0\);_(* "-"??_);_(@_)</c:formatCode>
                <c:ptCount val="13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  <c:pt idx="9">
                  <c:v>12048</c:v>
                </c:pt>
                <c:pt idx="10">
                  <c:v>15823</c:v>
                </c:pt>
                <c:pt idx="11">
                  <c:v>16568</c:v>
                </c:pt>
                <c:pt idx="12">
                  <c:v>13275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3-BF4B-AA97-570E771F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2336"/>
        <c:axId val="412588320"/>
      </c:barChart>
      <c:catAx>
        <c:axId val="41258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49790546394991431"/>
              <c:y val="0.9253200262088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8320"/>
        <c:crosses val="autoZero"/>
        <c:auto val="1"/>
        <c:lblAlgn val="ctr"/>
        <c:lblOffset val="100"/>
        <c:noMultiLvlLbl val="0"/>
      </c:catAx>
      <c:valAx>
        <c:axId val="4125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233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193785770536536"/>
          <c:y val="0.1679702537182852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Summary_data!$H$21:$H$33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10.177527</c:v>
                </c:pt>
                <c:pt idx="2">
                  <c:v>5.6774750000000003</c:v>
                </c:pt>
                <c:pt idx="3">
                  <c:v>0.65940500000000002</c:v>
                </c:pt>
                <c:pt idx="4">
                  <c:v>0.72013300000000002</c:v>
                </c:pt>
                <c:pt idx="5">
                  <c:v>0.79108500000000004</c:v>
                </c:pt>
                <c:pt idx="6">
                  <c:v>4.4349480000000003</c:v>
                </c:pt>
                <c:pt idx="7">
                  <c:v>4.4983519999999997</c:v>
                </c:pt>
                <c:pt idx="8">
                  <c:v>6.3843249999999996</c:v>
                </c:pt>
                <c:pt idx="9">
                  <c:v>3.9329890000000001</c:v>
                </c:pt>
                <c:pt idx="10">
                  <c:v>6.8701800000000004</c:v>
                </c:pt>
                <c:pt idx="11">
                  <c:v>7.1144410000000002</c:v>
                </c:pt>
                <c:pt idx="12">
                  <c:v>76.927700999999999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5-F341-9DB2-A771BC20C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0704"/>
        <c:axId val="412591040"/>
      </c:barChart>
      <c:catAx>
        <c:axId val="41258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040"/>
        <c:crosses val="autoZero"/>
        <c:auto val="1"/>
        <c:lblAlgn val="ctr"/>
        <c:lblOffset val="100"/>
        <c:noMultiLvlLbl val="0"/>
      </c:catAx>
      <c:valAx>
        <c:axId val="41259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0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data!$B$256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data!$B$257:$B$269</c:f>
              <c:numCache>
                <c:formatCode>_(* #,##0_);_(* \(#,##0\);_(* "-"??_);_(@_)</c:formatCode>
                <c:ptCount val="13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  <c:pt idx="9">
                  <c:v>55046</c:v>
                </c:pt>
                <c:pt idx="10">
                  <c:v>58238</c:v>
                </c:pt>
                <c:pt idx="11">
                  <c:v>67042</c:v>
                </c:pt>
                <c:pt idx="12">
                  <c:v>65954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1-6F44-9002-9A8958AE3459}"/>
            </c:ext>
          </c:extLst>
        </c:ser>
        <c:ser>
          <c:idx val="1"/>
          <c:order val="1"/>
          <c:tx>
            <c:strRef>
              <c:f>data!$C$256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data!$C$257:$C$269</c:f>
              <c:numCache>
                <c:formatCode>_(* #,##0_);_(* \(#,##0\);_(* "-"??_);_(@_)</c:formatCode>
                <c:ptCount val="13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  <c:pt idx="9">
                  <c:v>542003</c:v>
                </c:pt>
                <c:pt idx="10">
                  <c:v>551711</c:v>
                </c:pt>
                <c:pt idx="11">
                  <c:v>818083</c:v>
                </c:pt>
                <c:pt idx="12">
                  <c:v>881990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1-6F44-9002-9A8958AE3459}"/>
            </c:ext>
          </c:extLst>
        </c:ser>
        <c:ser>
          <c:idx val="2"/>
          <c:order val="2"/>
          <c:tx>
            <c:strRef>
              <c:f>data!$D$256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data!$D$257:$D$269</c:f>
              <c:numCache>
                <c:formatCode>_(* #,##0_);_(* \(#,##0\);_(* "-"??_);_(@_)</c:formatCode>
                <c:ptCount val="13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  <c:pt idx="9">
                  <c:v>38903</c:v>
                </c:pt>
                <c:pt idx="10">
                  <c:v>40974</c:v>
                </c:pt>
                <c:pt idx="11">
                  <c:v>49138</c:v>
                </c:pt>
                <c:pt idx="12">
                  <c:v>51239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1-6F44-9002-9A8958AE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21728"/>
        <c:axId val="361726624"/>
      </c:barChart>
      <c:catAx>
        <c:axId val="36172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6624"/>
        <c:crosses val="autoZero"/>
        <c:auto val="1"/>
        <c:lblAlgn val="ctr"/>
        <c:lblOffset val="100"/>
        <c:noMultiLvlLbl val="0"/>
      </c:catAx>
      <c:valAx>
        <c:axId val="3617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17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669"/>
          <c:y val="0.172369068950795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data!$N$277:$N$289</c:f>
              <c:numCache>
                <c:formatCode>_(* #,##0_);_(* \(#,##0\);_(* "-"??_);_(@_)</c:formatCode>
                <c:ptCount val="13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  <c:pt idx="9">
                  <c:v>17347</c:v>
                </c:pt>
                <c:pt idx="10">
                  <c:v>23160</c:v>
                </c:pt>
                <c:pt idx="11">
                  <c:v>24485</c:v>
                </c:pt>
                <c:pt idx="12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6-8E4A-9B64-65C2BD4E257E}"/>
            </c:ext>
          </c:extLst>
        </c:ser>
        <c:ser>
          <c:idx val="1"/>
          <c:order val="1"/>
          <c:tx>
            <c:strRef>
              <c:f>data!$O$276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data!$O$277:$O$289</c:f>
              <c:numCache>
                <c:formatCode>_(* #,##0_);_(* \(#,##0\);_(* "-"??_);_(@_)</c:formatCode>
                <c:ptCount val="13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  <c:pt idx="9">
                  <c:v>140576</c:v>
                </c:pt>
                <c:pt idx="10">
                  <c:v>392057</c:v>
                </c:pt>
                <c:pt idx="11">
                  <c:v>529075</c:v>
                </c:pt>
                <c:pt idx="12">
                  <c:v>77387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6-8E4A-9B64-65C2BD4E257E}"/>
            </c:ext>
          </c:extLst>
        </c:ser>
        <c:ser>
          <c:idx val="2"/>
          <c:order val="2"/>
          <c:tx>
            <c:strRef>
              <c:f>data!$P$276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data!$P$277:$P$289</c:f>
              <c:numCache>
                <c:formatCode>_(* #,##0_);_(* \(#,##0\);_(* "-"??_);_(@_)</c:formatCode>
                <c:ptCount val="13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  <c:pt idx="9">
                  <c:v>12048</c:v>
                </c:pt>
                <c:pt idx="10">
                  <c:v>15823</c:v>
                </c:pt>
                <c:pt idx="11">
                  <c:v>16568</c:v>
                </c:pt>
                <c:pt idx="12">
                  <c:v>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6-8E4A-9B64-65C2BD4E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9952"/>
        <c:axId val="412584512"/>
      </c:barChart>
      <c:catAx>
        <c:axId val="4125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0997785327073908"/>
              <c:y val="0.9253300515326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4512"/>
        <c:crosses val="autoZero"/>
        <c:auto val="1"/>
        <c:lblAlgn val="ctr"/>
        <c:lblOffset val="100"/>
        <c:noMultiLvlLbl val="0"/>
      </c:catAx>
      <c:valAx>
        <c:axId val="4125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9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193785770536536"/>
          <c:y val="0.16797025371828522"/>
          <c:w val="0.31945279506777341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data!$G$157:$G$168</c:f>
              <c:numCache>
                <c:formatCode>_(* #,##0.00_);_(* \(#,##0.00\);_(* "-"??_);_(@_)</c:formatCode>
                <c:ptCount val="12"/>
                <c:pt idx="0">
                  <c:v>1761.525625</c:v>
                </c:pt>
                <c:pt idx="1">
                  <c:v>759.51099999999997</c:v>
                </c:pt>
                <c:pt idx="2">
                  <c:v>822.25268164062504</c:v>
                </c:pt>
                <c:pt idx="3">
                  <c:v>898.95026074218754</c:v>
                </c:pt>
                <c:pt idx="4">
                  <c:v>954.17966796874998</c:v>
                </c:pt>
                <c:pt idx="5">
                  <c:v>1066.3169921875001</c:v>
                </c:pt>
                <c:pt idx="6">
                  <c:v>1131.1058336851804</c:v>
                </c:pt>
                <c:pt idx="7">
                  <c:v>2468.4033984375001</c:v>
                </c:pt>
                <c:pt idx="8">
                  <c:v>2933.262939453125</c:v>
                </c:pt>
                <c:pt idx="9">
                  <c:v>3104.99</c:v>
                </c:pt>
                <c:pt idx="10">
                  <c:v>3005.56</c:v>
                </c:pt>
                <c:pt idx="11">
                  <c:v>3322.23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6E46-BA57-A2C225EF1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3424"/>
        <c:axId val="412591584"/>
      </c:barChart>
      <c:catAx>
        <c:axId val="4125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1584"/>
        <c:crosses val="autoZero"/>
        <c:auto val="1"/>
        <c:lblAlgn val="ctr"/>
        <c:lblOffset val="100"/>
        <c:noMultiLvlLbl val="0"/>
      </c:catAx>
      <c:valAx>
        <c:axId val="412591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data!$G$171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data!$G$172:$G$183</c:f>
              <c:numCache>
                <c:formatCode>0.0%</c:formatCode>
                <c:ptCount val="12"/>
                <c:pt idx="0">
                  <c:v>3.6466484818673699E-2</c:v>
                </c:pt>
                <c:pt idx="1">
                  <c:v>8.0339235573892609E-2</c:v>
                </c:pt>
                <c:pt idx="2">
                  <c:v>0.13444174335822193</c:v>
                </c:pt>
                <c:pt idx="3">
                  <c:v>3.7928462661984526E-2</c:v>
                </c:pt>
                <c:pt idx="4">
                  <c:v>4.5725031726096932E-2</c:v>
                </c:pt>
                <c:pt idx="5">
                  <c:v>0.17976792544861755</c:v>
                </c:pt>
                <c:pt idx="6">
                  <c:v>0.1921027354903225</c:v>
                </c:pt>
                <c:pt idx="7">
                  <c:v>0.1811757891688387</c:v>
                </c:pt>
                <c:pt idx="8">
                  <c:v>0.24775192716871883</c:v>
                </c:pt>
                <c:pt idx="9">
                  <c:v>0.32284028536173714</c:v>
                </c:pt>
                <c:pt idx="10">
                  <c:v>0.29646412946384909</c:v>
                </c:pt>
                <c:pt idx="11">
                  <c:v>0.27058645650242863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5-2F47-9E1B-2B29AFAB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86688"/>
        <c:axId val="412585056"/>
      </c:lineChart>
      <c:catAx>
        <c:axId val="41258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056"/>
        <c:crosses val="autoZero"/>
        <c:auto val="1"/>
        <c:lblAlgn val="ctr"/>
        <c:lblOffset val="100"/>
        <c:noMultiLvlLbl val="0"/>
      </c:catAx>
      <c:valAx>
        <c:axId val="41258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data!$Q$239:$Q$251</c:f>
              <c:numCache>
                <c:formatCode>_(* #,##0_);_(* \(#,##0\);_(* "-"??_);_(@_)</c:formatCode>
                <c:ptCount val="13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  <c:pt idx="9">
                  <c:v>189171</c:v>
                </c:pt>
                <c:pt idx="10">
                  <c:v>195153</c:v>
                </c:pt>
                <c:pt idx="11">
                  <c:v>209718</c:v>
                </c:pt>
                <c:pt idx="12">
                  <c:v>213537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D-964A-813D-68D335D28C10}"/>
            </c:ext>
          </c:extLst>
        </c:ser>
        <c:ser>
          <c:idx val="1"/>
          <c:order val="1"/>
          <c:tx>
            <c:strRef>
              <c:f>data!$R$238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data!$R$239:$R$251</c:f>
              <c:numCache>
                <c:formatCode>_(* #,##0_);_(* \(#,##0\);_(* "-"??_);_(@_)</c:formatCode>
                <c:ptCount val="13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  <c:pt idx="9">
                  <c:v>1096949</c:v>
                </c:pt>
                <c:pt idx="10">
                  <c:v>1059513</c:v>
                </c:pt>
                <c:pt idx="11">
                  <c:v>1158426</c:v>
                </c:pt>
                <c:pt idx="12">
                  <c:v>2033553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D-964A-813D-68D335D28C10}"/>
            </c:ext>
          </c:extLst>
        </c:ser>
        <c:ser>
          <c:idx val="2"/>
          <c:order val="2"/>
          <c:tx>
            <c:strRef>
              <c:f>data!$S$238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data!$S$239:$S$251</c:f>
              <c:numCache>
                <c:formatCode>_(* #,##0_);_(* \(#,##0\);_(* "-"??_);_(@_)</c:formatCode>
                <c:ptCount val="13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  <c:pt idx="9">
                  <c:v>143345</c:v>
                </c:pt>
                <c:pt idx="10">
                  <c:v>141014</c:v>
                </c:pt>
                <c:pt idx="11">
                  <c:v>153371</c:v>
                </c:pt>
                <c:pt idx="12">
                  <c:v>158733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D-964A-813D-68D335D2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93216"/>
        <c:axId val="412588864"/>
      </c:barChart>
      <c:catAx>
        <c:axId val="41259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8864"/>
        <c:crosses val="autoZero"/>
        <c:auto val="1"/>
        <c:lblAlgn val="ctr"/>
        <c:lblOffset val="100"/>
        <c:noMultiLvlLbl val="0"/>
      </c:catAx>
      <c:valAx>
        <c:axId val="41258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932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653261165410479"/>
          <c:y val="0.15910656167979004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Summary_data!$I$21:$I$33</c:f>
              <c:numCache>
                <c:formatCode>_(* #,##0.0_);_(* \(#,##0.0\);_(* "-"??_);_(@_)</c:formatCode>
                <c:ptCount val="13"/>
                <c:pt idx="0">
                  <c:v>0.148617</c:v>
                </c:pt>
                <c:pt idx="1">
                  <c:v>16.757476</c:v>
                </c:pt>
                <c:pt idx="2">
                  <c:v>38.827043000000003</c:v>
                </c:pt>
                <c:pt idx="3">
                  <c:v>51.945273</c:v>
                </c:pt>
                <c:pt idx="4">
                  <c:v>63.965963000000002</c:v>
                </c:pt>
                <c:pt idx="5">
                  <c:v>70.588599000000002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163.27644599999999</c:v>
                </c:pt>
                <c:pt idx="9">
                  <c:v>174.59097600000001</c:v>
                </c:pt>
                <c:pt idx="10">
                  <c:v>208.186137</c:v>
                </c:pt>
                <c:pt idx="11">
                  <c:v>249.38378800000001</c:v>
                </c:pt>
                <c:pt idx="12">
                  <c:v>276.07118400000002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A-BE4D-85AF-AC26A98B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85600"/>
        <c:axId val="412586144"/>
      </c:barChart>
      <c:catAx>
        <c:axId val="4125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6144"/>
        <c:crosses val="autoZero"/>
        <c:auto val="1"/>
        <c:lblAlgn val="ctr"/>
        <c:lblOffset val="100"/>
        <c:noMultiLvlLbl val="0"/>
      </c:catAx>
      <c:valAx>
        <c:axId val="41258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56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data!$Q$277:$Q$289</c:f>
              <c:numCache>
                <c:formatCode>_(* #,##0_);_(* \(#,##0\);_(* "-"??_);_(@_)</c:formatCode>
                <c:ptCount val="13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  <c:pt idx="9">
                  <c:v>189171</c:v>
                </c:pt>
                <c:pt idx="10">
                  <c:v>195153</c:v>
                </c:pt>
                <c:pt idx="11">
                  <c:v>209718</c:v>
                </c:pt>
                <c:pt idx="12">
                  <c:v>217017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C43-B408-02A2A468B4D6}"/>
            </c:ext>
          </c:extLst>
        </c:ser>
        <c:ser>
          <c:idx val="1"/>
          <c:order val="1"/>
          <c:tx>
            <c:strRef>
              <c:f>data!$R$276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data!$R$277:$R$289</c:f>
              <c:numCache>
                <c:formatCode>_(* #,##0_);_(* \(#,##0\);_(* "-"??_);_(@_)</c:formatCode>
                <c:ptCount val="13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  <c:pt idx="9">
                  <c:v>1096949</c:v>
                </c:pt>
                <c:pt idx="10">
                  <c:v>1059513</c:v>
                </c:pt>
                <c:pt idx="11">
                  <c:v>1158426</c:v>
                </c:pt>
                <c:pt idx="12">
                  <c:v>1410082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9-4C43-B408-02A2A468B4D6}"/>
            </c:ext>
          </c:extLst>
        </c:ser>
        <c:ser>
          <c:idx val="2"/>
          <c:order val="2"/>
          <c:tx>
            <c:strRef>
              <c:f>data!$S$276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data!$S$277:$S$289</c:f>
              <c:numCache>
                <c:formatCode>_(* #,##0_);_(* \(#,##0\);_(* "-"??_);_(@_)</c:formatCode>
                <c:ptCount val="13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  <c:pt idx="9">
                  <c:v>143345</c:v>
                </c:pt>
                <c:pt idx="10">
                  <c:v>141014</c:v>
                </c:pt>
                <c:pt idx="11">
                  <c:v>153371</c:v>
                </c:pt>
                <c:pt idx="12">
                  <c:v>152381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9-4C43-B408-02A2A468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87776"/>
        <c:axId val="412589408"/>
      </c:barChart>
      <c:catAx>
        <c:axId val="41258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9408"/>
        <c:crosses val="autoZero"/>
        <c:auto val="1"/>
        <c:lblAlgn val="ctr"/>
        <c:lblOffset val="100"/>
        <c:noMultiLvlLbl val="0"/>
      </c:catAx>
      <c:valAx>
        <c:axId val="41258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877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510155553805048"/>
          <c:y val="0.12889075599405336"/>
          <c:w val="0.31308285292015892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data!$I$157:$I$168</c:f>
              <c:numCache>
                <c:formatCode>_(* #,##0.00_);_(* \(#,##0.00\);_(* "-"??_);_(@_)</c:formatCode>
                <c:ptCount val="12"/>
                <c:pt idx="0">
                  <c:v>125.360509765625</c:v>
                </c:pt>
                <c:pt idx="1">
                  <c:v>63.571999999999996</c:v>
                </c:pt>
                <c:pt idx="2">
                  <c:v>66.057981445312507</c:v>
                </c:pt>
                <c:pt idx="3">
                  <c:v>64.431476562499995</c:v>
                </c:pt>
                <c:pt idx="4">
                  <c:v>63.890546874999998</c:v>
                </c:pt>
                <c:pt idx="5">
                  <c:v>108.343125</c:v>
                </c:pt>
                <c:pt idx="6">
                  <c:v>121.28570499155356</c:v>
                </c:pt>
                <c:pt idx="7">
                  <c:v>177.02448242187498</c:v>
                </c:pt>
                <c:pt idx="8">
                  <c:v>277.42061523437502</c:v>
                </c:pt>
                <c:pt idx="9">
                  <c:v>428.189697265625</c:v>
                </c:pt>
                <c:pt idx="10">
                  <c:v>619.30999999999995</c:v>
                </c:pt>
                <c:pt idx="11">
                  <c:v>1058.0313964843749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248-A1F7-5F118CA8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90496"/>
        <c:axId val="412581792"/>
      </c:barChart>
      <c:catAx>
        <c:axId val="4125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1792"/>
        <c:crosses val="autoZero"/>
        <c:auto val="1"/>
        <c:lblAlgn val="ctr"/>
        <c:lblOffset val="100"/>
        <c:noMultiLvlLbl val="0"/>
      </c:catAx>
      <c:valAx>
        <c:axId val="412581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0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data!$I$171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data!$I$172:$I$183</c:f>
              <c:numCache>
                <c:formatCode>0.0%</c:formatCode>
                <c:ptCount val="12"/>
                <c:pt idx="0">
                  <c:v>2.2101237652255103E-2</c:v>
                </c:pt>
                <c:pt idx="1">
                  <c:v>3.9931447566698966E-3</c:v>
                </c:pt>
                <c:pt idx="2">
                  <c:v>6.7906928177372478E-3</c:v>
                </c:pt>
                <c:pt idx="3">
                  <c:v>1.4999808587129399E-3</c:v>
                </c:pt>
                <c:pt idx="4">
                  <c:v>1.9530765487696666E-2</c:v>
                </c:pt>
                <c:pt idx="5">
                  <c:v>7.6260909433726798E-3</c:v>
                </c:pt>
                <c:pt idx="6">
                  <c:v>2.2872950029919167E-2</c:v>
                </c:pt>
                <c:pt idx="7">
                  <c:v>2.2209925097333938E-2</c:v>
                </c:pt>
                <c:pt idx="8">
                  <c:v>2.1062864549578744E-2</c:v>
                </c:pt>
                <c:pt idx="9">
                  <c:v>2.854713716836561E-2</c:v>
                </c:pt>
                <c:pt idx="10">
                  <c:v>1.6933669693787727E-2</c:v>
                </c:pt>
                <c:pt idx="11">
                  <c:v>1.2598580677588827E-2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4-E841-AC3D-5C5FFA04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92128"/>
        <c:axId val="412583968"/>
      </c:lineChart>
      <c:catAx>
        <c:axId val="4125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83968"/>
        <c:crosses val="autoZero"/>
        <c:auto val="1"/>
        <c:lblAlgn val="ctr"/>
        <c:lblOffset val="100"/>
        <c:noMultiLvlLbl val="0"/>
      </c:catAx>
      <c:valAx>
        <c:axId val="412583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92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data!$W$239:$W$251</c:f>
              <c:numCache>
                <c:formatCode>_(* #,##0_);_(* \(#,##0\);_(* "-"??_);_(@_)</c:formatCode>
                <c:ptCount val="13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  <c:pt idx="9">
                  <c:v>766328</c:v>
                </c:pt>
                <c:pt idx="10">
                  <c:v>857579</c:v>
                </c:pt>
                <c:pt idx="11">
                  <c:v>798789</c:v>
                </c:pt>
                <c:pt idx="12">
                  <c:v>986483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A-EA43-BE8E-3B6C8CB65735}"/>
            </c:ext>
          </c:extLst>
        </c:ser>
        <c:ser>
          <c:idx val="1"/>
          <c:order val="1"/>
          <c:tx>
            <c:strRef>
              <c:f>data!$X$238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data!$X$239:$X$251</c:f>
              <c:numCache>
                <c:formatCode>_(* #,##0_);_(* \(#,##0\);_(* "-"??_);_(@_)</c:formatCode>
                <c:ptCount val="13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  <c:pt idx="9">
                  <c:v>3772779</c:v>
                </c:pt>
                <c:pt idx="10">
                  <c:v>4071275</c:v>
                </c:pt>
                <c:pt idx="11">
                  <c:v>3813884</c:v>
                </c:pt>
                <c:pt idx="12">
                  <c:v>4642807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A-EA43-BE8E-3B6C8CB65735}"/>
            </c:ext>
          </c:extLst>
        </c:ser>
        <c:ser>
          <c:idx val="2"/>
          <c:order val="2"/>
          <c:tx>
            <c:strRef>
              <c:f>data!$Y$238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data!$Y$239:$Y$251</c:f>
              <c:numCache>
                <c:formatCode>_(* #,##0_);_(* \(#,##0\);_(* "-"??_);_(@_)</c:formatCode>
                <c:ptCount val="13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  <c:pt idx="9">
                  <c:v>524620</c:v>
                </c:pt>
                <c:pt idx="10">
                  <c:v>572807</c:v>
                </c:pt>
                <c:pt idx="11">
                  <c:v>541879</c:v>
                </c:pt>
                <c:pt idx="12">
                  <c:v>668488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A-EA43-BE8E-3B6C8CB6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92672"/>
        <c:axId val="412579072"/>
      </c:barChart>
      <c:catAx>
        <c:axId val="41259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79072"/>
        <c:crosses val="autoZero"/>
        <c:auto val="1"/>
        <c:lblAlgn val="ctr"/>
        <c:lblOffset val="100"/>
        <c:noMultiLvlLbl val="0"/>
      </c:catAx>
      <c:valAx>
        <c:axId val="4125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9267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490813865942205"/>
          <c:y val="0.15463692038495189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8110180017"/>
          <c:y val="0.18225294239347301"/>
          <c:w val="0.84223682291260837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Summary_data!$K$21:$K$33</c:f>
              <c:numCache>
                <c:formatCode>_(* #,##0.0_);_(* \(#,##0.0\);_(* "-"??_);_(@_)</c:formatCode>
                <c:ptCount val="13"/>
                <c:pt idx="0">
                  <c:v>0.64234100000000005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22.897912999999999</c:v>
                </c:pt>
                <c:pt idx="4">
                  <c:v>20.180631999999999</c:v>
                </c:pt>
                <c:pt idx="5">
                  <c:v>24.339347</c:v>
                </c:pt>
                <c:pt idx="6">
                  <c:v>38.223084999999998</c:v>
                </c:pt>
                <c:pt idx="7">
                  <c:v>67.730322000000001</c:v>
                </c:pt>
                <c:pt idx="8">
                  <c:v>70.647366000000005</c:v>
                </c:pt>
                <c:pt idx="9">
                  <c:v>82.185432000000006</c:v>
                </c:pt>
                <c:pt idx="10">
                  <c:v>102.272879</c:v>
                </c:pt>
                <c:pt idx="11">
                  <c:v>157.13142500000001</c:v>
                </c:pt>
                <c:pt idx="12">
                  <c:v>68.86139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1-5542-B67D-7A40D6F0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77984"/>
        <c:axId val="412578528"/>
      </c:barChart>
      <c:catAx>
        <c:axId val="4125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8528"/>
        <c:crosses val="autoZero"/>
        <c:auto val="1"/>
        <c:lblAlgn val="ctr"/>
        <c:lblOffset val="100"/>
        <c:noMultiLvlLbl val="0"/>
      </c:catAx>
      <c:valAx>
        <c:axId val="41257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25779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Summary_data!$D$21:$D$33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3.5718839999999998</c:v>
                </c:pt>
                <c:pt idx="2">
                  <c:v>5.1073000000000004</c:v>
                </c:pt>
                <c:pt idx="3">
                  <c:v>4.4062020000000004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10.212370999999999</c:v>
                </c:pt>
                <c:pt idx="7">
                  <c:v>15.472293000000001</c:v>
                </c:pt>
                <c:pt idx="8">
                  <c:v>15.943277</c:v>
                </c:pt>
                <c:pt idx="9">
                  <c:v>18.483861999999998</c:v>
                </c:pt>
                <c:pt idx="10">
                  <c:v>31.037472000000001</c:v>
                </c:pt>
                <c:pt idx="11">
                  <c:v>26.575334999999999</c:v>
                </c:pt>
                <c:pt idx="12">
                  <c:v>36.577519000000002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C245-8FB5-91DAE999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272"/>
        <c:axId val="361713024"/>
      </c:barChart>
      <c:catAx>
        <c:axId val="3617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3024"/>
        <c:crosses val="autoZero"/>
        <c:auto val="1"/>
        <c:lblAlgn val="ctr"/>
        <c:lblOffset val="100"/>
        <c:noMultiLvlLbl val="0"/>
      </c:catAx>
      <c:valAx>
        <c:axId val="3617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data!$W$277:$W$289</c:f>
              <c:numCache>
                <c:formatCode>_(* #,##0_);_(* \(#,##0\);_(* "-"??_);_(@_)</c:formatCode>
                <c:ptCount val="13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  <c:pt idx="9">
                  <c:v>766328</c:v>
                </c:pt>
                <c:pt idx="10">
                  <c:v>857579</c:v>
                </c:pt>
                <c:pt idx="11">
                  <c:v>798789</c:v>
                </c:pt>
                <c:pt idx="12">
                  <c:v>927701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F042-AC8C-502F363904F6}"/>
            </c:ext>
          </c:extLst>
        </c:ser>
        <c:ser>
          <c:idx val="1"/>
          <c:order val="1"/>
          <c:tx>
            <c:strRef>
              <c:f>data!$X$276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data!$X$277:$X$289</c:f>
              <c:numCache>
                <c:formatCode>_(* #,##0_);_(* \(#,##0\);_(* "-"??_);_(@_)</c:formatCode>
                <c:ptCount val="13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  <c:pt idx="9">
                  <c:v>3772779</c:v>
                </c:pt>
                <c:pt idx="10">
                  <c:v>4071275</c:v>
                </c:pt>
                <c:pt idx="11">
                  <c:v>3813884</c:v>
                </c:pt>
                <c:pt idx="12">
                  <c:v>4242224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2-F042-AC8C-502F363904F6}"/>
            </c:ext>
          </c:extLst>
        </c:ser>
        <c:ser>
          <c:idx val="2"/>
          <c:order val="2"/>
          <c:tx>
            <c:strRef>
              <c:f>data!$Y$276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data!$Y$277:$Y$289</c:f>
              <c:numCache>
                <c:formatCode>_(* #,##0_);_(* \(#,##0\);_(* "-"??_);_(@_)</c:formatCode>
                <c:ptCount val="13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  <c:pt idx="9">
                  <c:v>524620</c:v>
                </c:pt>
                <c:pt idx="10">
                  <c:v>572807</c:v>
                </c:pt>
                <c:pt idx="11">
                  <c:v>541879</c:v>
                </c:pt>
                <c:pt idx="12">
                  <c:v>529431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2-F042-AC8C-502F36390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579616"/>
        <c:axId val="415382016"/>
      </c:barChart>
      <c:catAx>
        <c:axId val="4125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2016"/>
        <c:crosses val="autoZero"/>
        <c:auto val="1"/>
        <c:lblAlgn val="ctr"/>
        <c:lblOffset val="100"/>
        <c:noMultiLvlLbl val="0"/>
      </c:catAx>
      <c:valAx>
        <c:axId val="4153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796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778070208862929"/>
          <c:y val="0.12096856048110835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3771134344270589"/>
          <c:y val="5.62069995856057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data!$K$157:$K$168</c:f>
              <c:numCache>
                <c:formatCode>_(* #,##0.00_);_(* \(#,##0.00\);_(* "-"??_);_(@_)</c:formatCode>
                <c:ptCount val="12"/>
                <c:pt idx="1">
                  <c:v>0.38700000000000001</c:v>
                </c:pt>
                <c:pt idx="2">
                  <c:v>0.41019058227539062</c:v>
                </c:pt>
                <c:pt idx="3">
                  <c:v>4.6073242187500002E-2</c:v>
                </c:pt>
                <c:pt idx="4">
                  <c:v>0.615234375</c:v>
                </c:pt>
                <c:pt idx="5">
                  <c:v>143.19999999999999</c:v>
                </c:pt>
                <c:pt idx="6">
                  <c:v>175.490234375</c:v>
                </c:pt>
                <c:pt idx="7">
                  <c:v>183.447265625</c:v>
                </c:pt>
                <c:pt idx="8">
                  <c:v>197.0810546875</c:v>
                </c:pt>
                <c:pt idx="9">
                  <c:v>202.5</c:v>
                </c:pt>
                <c:pt idx="10">
                  <c:v>203.05</c:v>
                </c:pt>
                <c:pt idx="11">
                  <c:v>260.52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0-DD48-95CF-6C36E1127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8752"/>
        <c:axId val="415383648"/>
      </c:barChart>
      <c:catAx>
        <c:axId val="4153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648"/>
        <c:crosses val="autoZero"/>
        <c:auto val="1"/>
        <c:lblAlgn val="ctr"/>
        <c:lblOffset val="100"/>
        <c:noMultiLvlLbl val="0"/>
      </c:catAx>
      <c:valAx>
        <c:axId val="41538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8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47"/>
          <c:y val="0.14901950216041901"/>
          <c:w val="0.85018021090100049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data!$K$171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data!$K$172:$K$183</c:f>
              <c:numCache>
                <c:formatCode>0.0%</c:formatCode>
                <c:ptCount val="12"/>
                <c:pt idx="0">
                  <c:v>0.20388598818796541</c:v>
                </c:pt>
                <c:pt idx="1">
                  <c:v>0.23837126091312438</c:v>
                </c:pt>
                <c:pt idx="2">
                  <c:v>0.31703153988868277</c:v>
                </c:pt>
                <c:pt idx="3">
                  <c:v>0.38507605701281589</c:v>
                </c:pt>
                <c:pt idx="4">
                  <c:v>0.35461946373889014</c:v>
                </c:pt>
                <c:pt idx="5">
                  <c:v>0.38641611593279718</c:v>
                </c:pt>
                <c:pt idx="6">
                  <c:v>0.38235742604452577</c:v>
                </c:pt>
                <c:pt idx="7">
                  <c:v>0.3804569942411295</c:v>
                </c:pt>
                <c:pt idx="8">
                  <c:v>0.24058648533786656</c:v>
                </c:pt>
                <c:pt idx="9">
                  <c:v>0.23174839767476524</c:v>
                </c:pt>
                <c:pt idx="10">
                  <c:v>0.20900817074234537</c:v>
                </c:pt>
                <c:pt idx="11">
                  <c:v>0.20213306246825799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1-ED4F-9661-883000CC5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85824"/>
        <c:axId val="415381472"/>
      </c:lineChart>
      <c:catAx>
        <c:axId val="415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1472"/>
        <c:crosses val="autoZero"/>
        <c:auto val="1"/>
        <c:lblAlgn val="ctr"/>
        <c:lblOffset val="100"/>
        <c:noMultiLvlLbl val="0"/>
      </c:catAx>
      <c:valAx>
        <c:axId val="41538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8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data!$Z$239:$Z$251</c:f>
              <c:numCache>
                <c:formatCode>_(* #,##0_);_(* \(#,##0\);_(* "-"??_);_(@_)</c:formatCode>
                <c:ptCount val="13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  <c:pt idx="9">
                  <c:v>31846</c:v>
                </c:pt>
                <c:pt idx="10">
                  <c:v>46518</c:v>
                </c:pt>
                <c:pt idx="11">
                  <c:v>46775</c:v>
                </c:pt>
                <c:pt idx="12">
                  <c:v>50038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7-6A48-B695-7DF45C0C7EFB}"/>
            </c:ext>
          </c:extLst>
        </c:ser>
        <c:ser>
          <c:idx val="1"/>
          <c:order val="1"/>
          <c:tx>
            <c:strRef>
              <c:f>data!$AA$238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data!$AA$239:$AA$251</c:f>
              <c:numCache>
                <c:formatCode>_(* #,##0_);_(* \(#,##0\);_(* "-"??_);_(@_)</c:formatCode>
                <c:ptCount val="13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  <c:pt idx="9">
                  <c:v>275875</c:v>
                </c:pt>
                <c:pt idx="10">
                  <c:v>454588</c:v>
                </c:pt>
                <c:pt idx="11">
                  <c:v>637712</c:v>
                </c:pt>
                <c:pt idx="12">
                  <c:v>583216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7-6A48-B695-7DF45C0C7EFB}"/>
            </c:ext>
          </c:extLst>
        </c:ser>
        <c:ser>
          <c:idx val="2"/>
          <c:order val="2"/>
          <c:tx>
            <c:strRef>
              <c:f>data!$AB$238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data!$AB$239:$AB$251</c:f>
              <c:numCache>
                <c:formatCode>_(* #,##0_);_(* \(#,##0\);_(* "-"??_);_(@_)</c:formatCode>
                <c:ptCount val="13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  <c:pt idx="9">
                  <c:v>23530</c:v>
                </c:pt>
                <c:pt idx="10">
                  <c:v>33545</c:v>
                </c:pt>
                <c:pt idx="11">
                  <c:v>34391</c:v>
                </c:pt>
                <c:pt idx="12">
                  <c:v>37411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7-6A48-B695-7DF45C0C7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77120"/>
        <c:axId val="415382560"/>
      </c:barChart>
      <c:catAx>
        <c:axId val="41537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2560"/>
        <c:crosses val="autoZero"/>
        <c:auto val="1"/>
        <c:lblAlgn val="ctr"/>
        <c:lblOffset val="100"/>
        <c:noMultiLvlLbl val="0"/>
      </c:catAx>
      <c:valAx>
        <c:axId val="4153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71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69786238172002"/>
          <c:y val="0.16377882764654417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4084493041413399"/>
          <c:y val="4.2874073532554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Summary_data!$M$21:$M$33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0.39932299999999998</c:v>
                </c:pt>
                <c:pt idx="2">
                  <c:v>7.6994199999999999</c:v>
                </c:pt>
                <c:pt idx="3">
                  <c:v>49.882874999999999</c:v>
                </c:pt>
                <c:pt idx="4">
                  <c:v>3.194725</c:v>
                </c:pt>
                <c:pt idx="5">
                  <c:v>6.7061929999999998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  <c:pt idx="9">
                  <c:v>31.550469</c:v>
                </c:pt>
                <c:pt idx="10">
                  <c:v>26.890238</c:v>
                </c:pt>
                <c:pt idx="11">
                  <c:v>34.901304000000003</c:v>
                </c:pt>
                <c:pt idx="12">
                  <c:v>52.227103999999997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9-BD48-BC74-A1AACCFB6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6032"/>
        <c:axId val="415383104"/>
      </c:barChart>
      <c:catAx>
        <c:axId val="4153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3104"/>
        <c:crosses val="autoZero"/>
        <c:auto val="1"/>
        <c:lblAlgn val="ctr"/>
        <c:lblOffset val="100"/>
        <c:noMultiLvlLbl val="0"/>
      </c:catAx>
      <c:valAx>
        <c:axId val="41538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6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data!$Z$277:$Z$289</c:f>
              <c:numCache>
                <c:formatCode>_(* #,##0_);_(* \(#,##0\);_(* "-"??_);_(@_)</c:formatCode>
                <c:ptCount val="13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  <c:pt idx="9">
                  <c:v>31846</c:v>
                </c:pt>
                <c:pt idx="10">
                  <c:v>46518</c:v>
                </c:pt>
                <c:pt idx="11">
                  <c:v>46775</c:v>
                </c:pt>
                <c:pt idx="12">
                  <c:v>61588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624B-98E0-29B07DE08B7E}"/>
            </c:ext>
          </c:extLst>
        </c:ser>
        <c:ser>
          <c:idx val="1"/>
          <c:order val="1"/>
          <c:tx>
            <c:strRef>
              <c:f>data!$AA$276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data!$AA$277:$AA$289</c:f>
              <c:numCache>
                <c:formatCode>_(* #,##0_);_(* \(#,##0\);_(* "-"??_);_(@_)</c:formatCode>
                <c:ptCount val="13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  <c:pt idx="9">
                  <c:v>275875</c:v>
                </c:pt>
                <c:pt idx="10">
                  <c:v>454588</c:v>
                </c:pt>
                <c:pt idx="11">
                  <c:v>637712</c:v>
                </c:pt>
                <c:pt idx="12">
                  <c:v>689021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A-624B-98E0-29B07DE08B7E}"/>
            </c:ext>
          </c:extLst>
        </c:ser>
        <c:ser>
          <c:idx val="2"/>
          <c:order val="2"/>
          <c:tx>
            <c:strRef>
              <c:f>data!$AB$276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data!$AB$277:$AB$289</c:f>
              <c:numCache>
                <c:formatCode>_(* #,##0_);_(* \(#,##0\);_(* "-"??_);_(@_)</c:formatCode>
                <c:ptCount val="13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  <c:pt idx="9">
                  <c:v>23530</c:v>
                </c:pt>
                <c:pt idx="10">
                  <c:v>33545</c:v>
                </c:pt>
                <c:pt idx="11">
                  <c:v>34391</c:v>
                </c:pt>
                <c:pt idx="12">
                  <c:v>45672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A-624B-98E0-29B07DE0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88544"/>
        <c:axId val="415384192"/>
      </c:barChart>
      <c:catAx>
        <c:axId val="415388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4192"/>
        <c:crosses val="autoZero"/>
        <c:auto val="1"/>
        <c:lblAlgn val="ctr"/>
        <c:lblOffset val="100"/>
        <c:noMultiLvlLbl val="0"/>
      </c:catAx>
      <c:valAx>
        <c:axId val="41538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54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69786238172002"/>
          <c:y val="0.16377882764654417"/>
          <c:w val="0.32772510614530426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data!$J$157:$J$168</c:f>
              <c:numCache>
                <c:formatCode>_(* #,##0.00_);_(* \(#,##0.00\);_(* "-"??_);_(@_)</c:formatCode>
                <c:ptCount val="12"/>
                <c:pt idx="9">
                  <c:v>3445.9434108734131</c:v>
                </c:pt>
                <c:pt idx="10">
                  <c:v>4931.5839999999998</c:v>
                </c:pt>
                <c:pt idx="11">
                  <c:v>4577.28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B-1143-885C-76A3F27E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9296"/>
        <c:axId val="415384736"/>
      </c:barChart>
      <c:catAx>
        <c:axId val="4153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4736"/>
        <c:crosses val="autoZero"/>
        <c:auto val="1"/>
        <c:lblAlgn val="ctr"/>
        <c:lblOffset val="100"/>
        <c:noMultiLvlLbl val="0"/>
      </c:catAx>
      <c:valAx>
        <c:axId val="415384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92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8"/>
          <c:order val="0"/>
          <c:tx>
            <c:strRef>
              <c:f>data!$J$171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data!$A$172:$A$181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data!$J$172:$J$181</c:f>
              <c:numCache>
                <c:formatCode>0.0%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E-AF4D-87EE-97DF44714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720"/>
        <c:axId val="415385280"/>
      </c:lineChart>
      <c:catAx>
        <c:axId val="4153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5280"/>
        <c:crosses val="autoZero"/>
        <c:auto val="1"/>
        <c:lblAlgn val="ctr"/>
        <c:lblOffset val="100"/>
        <c:noMultiLvlLbl val="0"/>
      </c:catAx>
      <c:valAx>
        <c:axId val="415385280"/>
        <c:scaling>
          <c:orientation val="minMax"/>
          <c:max val="2.0000000000000004E-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720"/>
        <c:crosses val="autoZero"/>
        <c:crossBetween val="between"/>
        <c:majorUnit val="5.000000000000001E-3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data!$AJ$238:$AJ$250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FCCE-9847-88F8-B01A3EABD4D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data!$AK$238:$AK$250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7-FCCE-9847-88F8-B01A3EABD4D9}"/>
            </c:ext>
          </c:extLst>
        </c:ser>
        <c:ser>
          <c:idx val="2"/>
          <c:order val="2"/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data!$AL$238:$AL$250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8-FCCE-9847-88F8-B01A3EABD4D9}"/>
            </c:ext>
          </c:extLst>
        </c:ser>
        <c:ser>
          <c:idx val="34"/>
          <c:order val="3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data!$AJ$238:$AJ$250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FCCE-9847-88F8-B01A3EABD4D9}"/>
            </c:ext>
          </c:extLst>
        </c:ser>
        <c:ser>
          <c:idx val="35"/>
          <c:order val="4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data!$AK$238:$AK$250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FCCE-9847-88F8-B01A3EABD4D9}"/>
            </c:ext>
          </c:extLst>
        </c:ser>
        <c:ser>
          <c:idx val="36"/>
          <c:order val="5"/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data!$AL$238:$AL$250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5-FCCE-9847-88F8-B01A3EABD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89632"/>
        <c:axId val="415376576"/>
      </c:barChart>
      <c:catAx>
        <c:axId val="41538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6576"/>
        <c:crosses val="autoZero"/>
        <c:auto val="1"/>
        <c:lblAlgn val="ctr"/>
        <c:lblOffset val="100"/>
        <c:noMultiLvlLbl val="0"/>
      </c:catAx>
      <c:valAx>
        <c:axId val="4153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96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Summary_data!$L$21:$L$33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10.672893999999999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16.768246000000001</c:v>
                </c:pt>
                <c:pt idx="6">
                  <c:v>18.293759999999999</c:v>
                </c:pt>
                <c:pt idx="7">
                  <c:v>27.464272000000001</c:v>
                </c:pt>
                <c:pt idx="8">
                  <c:v>56.956518000000003</c:v>
                </c:pt>
                <c:pt idx="9">
                  <c:v>65.432243</c:v>
                </c:pt>
                <c:pt idx="10">
                  <c:v>47.917738</c:v>
                </c:pt>
                <c:pt idx="11">
                  <c:v>55.382038000000001</c:v>
                </c:pt>
                <c:pt idx="12">
                  <c:v>38.363185000000001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B642-A0B5-E16BACF47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6368"/>
        <c:axId val="415380384"/>
      </c:barChart>
      <c:catAx>
        <c:axId val="41538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384"/>
        <c:crosses val="autoZero"/>
        <c:auto val="1"/>
        <c:lblAlgn val="ctr"/>
        <c:lblOffset val="100"/>
        <c:noMultiLvlLbl val="0"/>
      </c:catAx>
      <c:valAx>
        <c:axId val="41538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3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data!$B$276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data!$B$277:$B$289</c:f>
              <c:numCache>
                <c:formatCode>_(* #,##0_);_(* \(#,##0\);_(* "-"??_);_(@_)</c:formatCode>
                <c:ptCount val="13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  <c:pt idx="9">
                  <c:v>55046</c:v>
                </c:pt>
                <c:pt idx="10">
                  <c:v>58238</c:v>
                </c:pt>
                <c:pt idx="11">
                  <c:v>67042</c:v>
                </c:pt>
                <c:pt idx="12">
                  <c:v>47666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324F-91DF-930FF83D0C45}"/>
            </c:ext>
          </c:extLst>
        </c:ser>
        <c:ser>
          <c:idx val="1"/>
          <c:order val="1"/>
          <c:tx>
            <c:strRef>
              <c:f>data!$C$276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data!$C$277:$C$289</c:f>
              <c:numCache>
                <c:formatCode>_(* #,##0_);_(* \(#,##0\);_(* "-"??_);_(@_)</c:formatCode>
                <c:ptCount val="13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  <c:pt idx="9">
                  <c:v>542003</c:v>
                </c:pt>
                <c:pt idx="10">
                  <c:v>551711</c:v>
                </c:pt>
                <c:pt idx="11">
                  <c:v>818083</c:v>
                </c:pt>
                <c:pt idx="12">
                  <c:v>556331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F-324F-91DF-930FF83D0C45}"/>
            </c:ext>
          </c:extLst>
        </c:ser>
        <c:ser>
          <c:idx val="2"/>
          <c:order val="2"/>
          <c:tx>
            <c:strRef>
              <c:f>data!$D$276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data!$D$277:$D$289</c:f>
              <c:numCache>
                <c:formatCode>_(* #,##0_);_(* \(#,##0\);_(* "-"??_);_(@_)</c:formatCode>
                <c:ptCount val="13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  <c:pt idx="9">
                  <c:v>38903</c:v>
                </c:pt>
                <c:pt idx="10">
                  <c:v>40974</c:v>
                </c:pt>
                <c:pt idx="11">
                  <c:v>49138</c:v>
                </c:pt>
                <c:pt idx="12">
                  <c:v>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F-324F-91DF-930FF83D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16288"/>
        <c:axId val="361718464"/>
      </c:barChart>
      <c:catAx>
        <c:axId val="3617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8464"/>
        <c:crosses val="autoZero"/>
        <c:auto val="1"/>
        <c:lblAlgn val="ctr"/>
        <c:lblOffset val="100"/>
        <c:noMultiLvlLbl val="0"/>
      </c:catAx>
      <c:valAx>
        <c:axId val="3617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6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669"/>
          <c:y val="0.172369068950795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34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data!$AJ$238:$AJ$250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F533-F849-9F07-284EF8480667}"/>
            </c:ext>
          </c:extLst>
        </c:ser>
        <c:ser>
          <c:idx val="35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data!$AK$238:$AK$250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F533-F849-9F07-284EF8480667}"/>
            </c:ext>
          </c:extLst>
        </c:ser>
        <c:ser>
          <c:idx val="36"/>
          <c:order val="2"/>
          <c:invertIfNegative val="0"/>
          <c:cat>
            <c:strRef>
              <c:f>data!$A$256:$A$268</c:f>
              <c:strCache>
                <c:ptCount val="13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  <c:pt idx="12">
                  <c:v>FY18</c:v>
                </c:pt>
              </c:strCache>
            </c:strRef>
          </c:cat>
          <c:val>
            <c:numRef>
              <c:f>data!$AL$238:$AL$250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F533-F849-9F07-284EF848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77664"/>
        <c:axId val="415388000"/>
      </c:barChart>
      <c:catAx>
        <c:axId val="41537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8000"/>
        <c:crosses val="autoZero"/>
        <c:auto val="1"/>
        <c:lblAlgn val="ctr"/>
        <c:lblOffset val="100"/>
        <c:noMultiLvlLbl val="0"/>
      </c:catAx>
      <c:valAx>
        <c:axId val="4153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76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72725415267445"/>
          <c:y val="0.18228668594254499"/>
          <c:w val="0.8233319889631350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data!$L$157:$L$168</c:f>
              <c:numCache>
                <c:formatCode>_(* #,##0.00_);_(* \(#,##0.00\);_(* "-"??_);_(@_)</c:formatCode>
                <c:ptCount val="12"/>
                <c:pt idx="0">
                  <c:v>21.843390625000001</c:v>
                </c:pt>
                <c:pt idx="1">
                  <c:v>29.620999999999999</c:v>
                </c:pt>
                <c:pt idx="2">
                  <c:v>32.902135742187497</c:v>
                </c:pt>
                <c:pt idx="3">
                  <c:v>36.163331054687497</c:v>
                </c:pt>
                <c:pt idx="4">
                  <c:v>41.469843750000003</c:v>
                </c:pt>
                <c:pt idx="5">
                  <c:v>44.454013671875003</c:v>
                </c:pt>
                <c:pt idx="6">
                  <c:v>54.879029105307303</c:v>
                </c:pt>
                <c:pt idx="7">
                  <c:v>89.562392578125014</c:v>
                </c:pt>
                <c:pt idx="8">
                  <c:v>164.003359375</c:v>
                </c:pt>
                <c:pt idx="9">
                  <c:v>245.70528320312502</c:v>
                </c:pt>
                <c:pt idx="10">
                  <c:v>314.8735548427951</c:v>
                </c:pt>
                <c:pt idx="11">
                  <c:v>456.55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D-7E45-9AE5-B9B1D733E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7456"/>
        <c:axId val="415389088"/>
      </c:barChart>
      <c:catAx>
        <c:axId val="4153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9088"/>
        <c:crosses val="autoZero"/>
        <c:auto val="1"/>
        <c:lblAlgn val="ctr"/>
        <c:lblOffset val="100"/>
        <c:noMultiLvlLbl val="0"/>
      </c:catAx>
      <c:valAx>
        <c:axId val="415389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7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6532186658235"/>
          <c:y val="0.14901950216041901"/>
          <c:w val="0.838897792759060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data!$L$171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data!$L$172:$L$183</c:f>
              <c:numCache>
                <c:formatCode>0.0%</c:formatCode>
                <c:ptCount val="12"/>
                <c:pt idx="0">
                  <c:v>0.3592377107575398</c:v>
                </c:pt>
                <c:pt idx="1">
                  <c:v>0.30162634959682932</c:v>
                </c:pt>
                <c:pt idx="2">
                  <c:v>0.35940032414910861</c:v>
                </c:pt>
                <c:pt idx="3">
                  <c:v>0.13245337159253945</c:v>
                </c:pt>
                <c:pt idx="4">
                  <c:v>0.12790491396132694</c:v>
                </c:pt>
                <c:pt idx="5">
                  <c:v>0.37919999999999998</c:v>
                </c:pt>
                <c:pt idx="6">
                  <c:v>0.46317441419990257</c:v>
                </c:pt>
                <c:pt idx="7">
                  <c:v>0.30471387666139577</c:v>
                </c:pt>
                <c:pt idx="8">
                  <c:v>0.31115350981795054</c:v>
                </c:pt>
                <c:pt idx="9">
                  <c:v>0.3167139227455168</c:v>
                </c:pt>
                <c:pt idx="10">
                  <c:v>0.31003674616326826</c:v>
                </c:pt>
                <c:pt idx="11">
                  <c:v>0.2608115889323272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C94B-849E-E5187240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90176"/>
        <c:axId val="415386912"/>
      </c:lineChart>
      <c:catAx>
        <c:axId val="4153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6912"/>
        <c:crosses val="autoZero"/>
        <c:auto val="1"/>
        <c:lblAlgn val="ctr"/>
        <c:lblOffset val="100"/>
        <c:noMultiLvlLbl val="0"/>
      </c:catAx>
      <c:valAx>
        <c:axId val="41538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90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39225860774644"/>
          <c:y val="0.143607581541664"/>
          <c:w val="0.80857433248118182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data!$AC$239:$AC$251</c:f>
              <c:numCache>
                <c:formatCode>_(* #,##0_);_(* \(#,##0\);_(* "-"??_);_(@_)</c:formatCode>
                <c:ptCount val="13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  <c:pt idx="9">
                  <c:v>36216</c:v>
                </c:pt>
                <c:pt idx="10">
                  <c:v>39732</c:v>
                </c:pt>
                <c:pt idx="11">
                  <c:v>40086</c:v>
                </c:pt>
                <c:pt idx="12">
                  <c:v>47740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5-9446-A6A6-DF70F76289A7}"/>
            </c:ext>
          </c:extLst>
        </c:ser>
        <c:ser>
          <c:idx val="1"/>
          <c:order val="1"/>
          <c:tx>
            <c:strRef>
              <c:f>data!$AD$238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data!$AD$239:$AD$251</c:f>
              <c:numCache>
                <c:formatCode>_(* #,##0_);_(* \(#,##0\);_(* "-"??_);_(@_)</c:formatCode>
                <c:ptCount val="13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  <c:pt idx="9">
                  <c:v>303768</c:v>
                </c:pt>
                <c:pt idx="10">
                  <c:v>343100</c:v>
                </c:pt>
                <c:pt idx="11">
                  <c:v>1354393</c:v>
                </c:pt>
                <c:pt idx="12">
                  <c:v>1204490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F5-9446-A6A6-DF70F76289A7}"/>
            </c:ext>
          </c:extLst>
        </c:ser>
        <c:ser>
          <c:idx val="2"/>
          <c:order val="2"/>
          <c:tx>
            <c:strRef>
              <c:f>data!$AE$238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data!$AE$239:$AE$251</c:f>
              <c:numCache>
                <c:formatCode>_(* #,##0_);_(* \(#,##0\);_(* "-"??_);_(@_)</c:formatCode>
                <c:ptCount val="13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  <c:pt idx="9">
                  <c:v>25158</c:v>
                </c:pt>
                <c:pt idx="10">
                  <c:v>27157</c:v>
                </c:pt>
                <c:pt idx="11">
                  <c:v>27758</c:v>
                </c:pt>
                <c:pt idx="12">
                  <c:v>32997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5-9446-A6A6-DF70F762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78208"/>
        <c:axId val="415379840"/>
      </c:barChart>
      <c:catAx>
        <c:axId val="41537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9840"/>
        <c:crosses val="autoZero"/>
        <c:auto val="1"/>
        <c:lblAlgn val="ctr"/>
        <c:lblOffset val="100"/>
        <c:noMultiLvlLbl val="0"/>
      </c:catAx>
      <c:valAx>
        <c:axId val="4153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7820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3390721991439087"/>
          <c:y val="0.15466211723534559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13345944469534"/>
          <c:y val="0.18225294239347301"/>
          <c:w val="0.84223684957772071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Summary_data!$N$21:$N$33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16.487646000000002</c:v>
                </c:pt>
                <c:pt idx="2">
                  <c:v>31.722079000000001</c:v>
                </c:pt>
                <c:pt idx="3">
                  <c:v>50.334622000000003</c:v>
                </c:pt>
                <c:pt idx="4">
                  <c:v>38.272939999999998</c:v>
                </c:pt>
                <c:pt idx="5">
                  <c:v>54.068233999999997</c:v>
                </c:pt>
                <c:pt idx="6">
                  <c:v>89.251096000000004</c:v>
                </c:pt>
                <c:pt idx="7">
                  <c:v>71.263045000000005</c:v>
                </c:pt>
                <c:pt idx="8">
                  <c:v>77.176446999999996</c:v>
                </c:pt>
                <c:pt idx="9">
                  <c:v>93.017982000000003</c:v>
                </c:pt>
                <c:pt idx="10">
                  <c:v>87.788122999999999</c:v>
                </c:pt>
                <c:pt idx="11">
                  <c:v>48.444204999999997</c:v>
                </c:pt>
                <c:pt idx="12">
                  <c:v>68.885910999999993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B-8D4E-9B8F-32A62E2A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75488"/>
        <c:axId val="415380928"/>
      </c:barChart>
      <c:catAx>
        <c:axId val="41537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80928"/>
        <c:crosses val="autoZero"/>
        <c:auto val="1"/>
        <c:lblAlgn val="ctr"/>
        <c:lblOffset val="100"/>
        <c:noMultiLvlLbl val="0"/>
      </c:catAx>
      <c:valAx>
        <c:axId val="415380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5375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7633224398172"/>
          <c:y val="0.143607581541664"/>
          <c:w val="0.8082901818184286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data!$AC$277:$AC$289</c:f>
              <c:numCache>
                <c:formatCode>_(* #,##0_);_(* \(#,##0\);_(* "-"??_);_(@_)</c:formatCode>
                <c:ptCount val="13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  <c:pt idx="9">
                  <c:v>36216</c:v>
                </c:pt>
                <c:pt idx="10">
                  <c:v>39732</c:v>
                </c:pt>
                <c:pt idx="11">
                  <c:v>40086</c:v>
                </c:pt>
                <c:pt idx="12">
                  <c:v>54854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0644-8815-871522D8417B}"/>
            </c:ext>
          </c:extLst>
        </c:ser>
        <c:ser>
          <c:idx val="1"/>
          <c:order val="1"/>
          <c:tx>
            <c:strRef>
              <c:f>data!$AD$276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data!$AD$277:$AD$289</c:f>
              <c:numCache>
                <c:formatCode>_(* #,##0_);_(* \(#,##0\);_(* "-"??_);_(@_)</c:formatCode>
                <c:ptCount val="13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  <c:pt idx="9">
                  <c:v>303768</c:v>
                </c:pt>
                <c:pt idx="10">
                  <c:v>343100</c:v>
                </c:pt>
                <c:pt idx="11">
                  <c:v>1354393</c:v>
                </c:pt>
                <c:pt idx="12">
                  <c:v>358241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BB-0644-8815-871522D8417B}"/>
            </c:ext>
          </c:extLst>
        </c:ser>
        <c:ser>
          <c:idx val="2"/>
          <c:order val="2"/>
          <c:tx>
            <c:strRef>
              <c:f>data!$AE$276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data!$AE$277:$AE$289</c:f>
              <c:numCache>
                <c:formatCode>_(* #,##0_);_(* \(#,##0\);_(* "-"??_);_(@_)</c:formatCode>
                <c:ptCount val="13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  <c:pt idx="9">
                  <c:v>25158</c:v>
                </c:pt>
                <c:pt idx="10">
                  <c:v>27157</c:v>
                </c:pt>
                <c:pt idx="11">
                  <c:v>27758</c:v>
                </c:pt>
                <c:pt idx="12">
                  <c:v>38963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BB-0644-8815-871522D8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17904"/>
        <c:axId val="417122800"/>
      </c:barChart>
      <c:catAx>
        <c:axId val="41711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2800"/>
        <c:crosses val="autoZero"/>
        <c:auto val="1"/>
        <c:lblAlgn val="ctr"/>
        <c:lblOffset val="100"/>
        <c:noMultiLvlLbl val="0"/>
      </c:catAx>
      <c:valAx>
        <c:axId val="41712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179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3390721991439087"/>
          <c:y val="0.15466211723534559"/>
          <c:w val="0.32764266896570593"/>
          <c:h val="0.1042552910375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data!$M$157:$M$168</c:f>
              <c:numCache>
                <c:formatCode>_(* #,##0.00_);_(* \(#,##0.00\);_(* "-"??_);_(@_)</c:formatCode>
                <c:ptCount val="12"/>
                <c:pt idx="2">
                  <c:v>2.722111328125</c:v>
                </c:pt>
                <c:pt idx="3">
                  <c:v>2.8863720703125</c:v>
                </c:pt>
                <c:pt idx="4">
                  <c:v>3.3079492187500001</c:v>
                </c:pt>
                <c:pt idx="5">
                  <c:v>3.3409765624999999</c:v>
                </c:pt>
                <c:pt idx="6">
                  <c:v>3.3594172669090723</c:v>
                </c:pt>
                <c:pt idx="7">
                  <c:v>3.3659960937500002</c:v>
                </c:pt>
                <c:pt idx="8">
                  <c:v>3.7205468750000001</c:v>
                </c:pt>
                <c:pt idx="9">
                  <c:v>3.88087890625</c:v>
                </c:pt>
                <c:pt idx="10">
                  <c:v>6.3339475886841603</c:v>
                </c:pt>
                <c:pt idx="11">
                  <c:v>7.0993457031249996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F945-80C1-1C4C5538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7360"/>
        <c:axId val="417118992"/>
      </c:barChart>
      <c:catAx>
        <c:axId val="41711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8992"/>
        <c:crosses val="autoZero"/>
        <c:auto val="1"/>
        <c:lblAlgn val="ctr"/>
        <c:lblOffset val="100"/>
        <c:noMultiLvlLbl val="0"/>
      </c:catAx>
      <c:valAx>
        <c:axId val="41711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971901634679"/>
          <c:y val="0.14901950216041901"/>
          <c:w val="0.85421339560929577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data!$M$171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data!$M$172:$M$183</c:f>
              <c:numCache>
                <c:formatCode>0.0%</c:formatCode>
                <c:ptCount val="12"/>
                <c:pt idx="1">
                  <c:v>8.0167851693126846E-2</c:v>
                </c:pt>
                <c:pt idx="2">
                  <c:v>0.27430263839031882</c:v>
                </c:pt>
                <c:pt idx="3">
                  <c:v>0.23747127802868234</c:v>
                </c:pt>
                <c:pt idx="4">
                  <c:v>0.32130439995204413</c:v>
                </c:pt>
                <c:pt idx="5">
                  <c:v>0.44425840829096597</c:v>
                </c:pt>
                <c:pt idx="6">
                  <c:v>0.53636570770725156</c:v>
                </c:pt>
                <c:pt idx="7">
                  <c:v>0.66219541877383237</c:v>
                </c:pt>
                <c:pt idx="8">
                  <c:v>0.64436276862734343</c:v>
                </c:pt>
                <c:pt idx="9">
                  <c:v>0.55262922038846141</c:v>
                </c:pt>
                <c:pt idx="10">
                  <c:v>0.24505321765842303</c:v>
                </c:pt>
                <c:pt idx="11">
                  <c:v>0.22780461142034869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C-F04C-8CDC-F2219574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129328"/>
        <c:axId val="417116272"/>
      </c:lineChart>
      <c:catAx>
        <c:axId val="41712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272"/>
        <c:crosses val="autoZero"/>
        <c:auto val="1"/>
        <c:lblAlgn val="ctr"/>
        <c:lblOffset val="100"/>
        <c:noMultiLvlLbl val="0"/>
      </c:catAx>
      <c:valAx>
        <c:axId val="417116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9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data!$AF$238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data!$AF$239:$AF$251</c:f>
              <c:numCache>
                <c:formatCode>_(* #,##0_);_(* \(#,##0\);_(* "-"??_);_(@_)</c:formatCode>
                <c:ptCount val="13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  <c:pt idx="9">
                  <c:v>88746</c:v>
                </c:pt>
                <c:pt idx="10">
                  <c:v>94980</c:v>
                </c:pt>
                <c:pt idx="11">
                  <c:v>103800</c:v>
                </c:pt>
                <c:pt idx="12">
                  <c:v>116957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5-B147-8931-C61B1DAACF5A}"/>
            </c:ext>
          </c:extLst>
        </c:ser>
        <c:ser>
          <c:idx val="1"/>
          <c:order val="1"/>
          <c:tx>
            <c:strRef>
              <c:f>data!$AG$238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data!$AG$239:$AG$251</c:f>
              <c:numCache>
                <c:formatCode>_(* #,##0_);_(* \(#,##0\);_(* "-"??_);_(@_)</c:formatCode>
                <c:ptCount val="13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  <c:pt idx="9">
                  <c:v>893022</c:v>
                </c:pt>
                <c:pt idx="10">
                  <c:v>923167</c:v>
                </c:pt>
                <c:pt idx="11">
                  <c:v>1788088</c:v>
                </c:pt>
                <c:pt idx="12">
                  <c:v>1895297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D5-B147-8931-C61B1DAACF5A}"/>
            </c:ext>
          </c:extLst>
        </c:ser>
        <c:ser>
          <c:idx val="2"/>
          <c:order val="2"/>
          <c:tx>
            <c:strRef>
              <c:f>data!$AH$238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data!$AH$239:$AH$251</c:f>
              <c:numCache>
                <c:formatCode>_(* #,##0_);_(* \(#,##0\);_(* "-"??_);_(@_)</c:formatCode>
                <c:ptCount val="13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  <c:pt idx="9">
                  <c:v>72917</c:v>
                </c:pt>
                <c:pt idx="10">
                  <c:v>78103</c:v>
                </c:pt>
                <c:pt idx="11">
                  <c:v>83337</c:v>
                </c:pt>
                <c:pt idx="12">
                  <c:v>89647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5-B147-8931-C61B1DAAC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31504"/>
        <c:axId val="417118448"/>
      </c:barChart>
      <c:catAx>
        <c:axId val="417131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18448"/>
        <c:crosses val="autoZero"/>
        <c:auto val="1"/>
        <c:lblAlgn val="ctr"/>
        <c:lblOffset val="100"/>
        <c:noMultiLvlLbl val="0"/>
      </c:catAx>
      <c:valAx>
        <c:axId val="41711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315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936434307551413"/>
          <c:y val="0.1457732283464567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Summary_data!$O$21:$O$33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7.4131000000000002E-2</c:v>
                </c:pt>
                <c:pt idx="2">
                  <c:v>0.49062</c:v>
                </c:pt>
                <c:pt idx="3">
                  <c:v>3.5663849999999999</c:v>
                </c:pt>
                <c:pt idx="4">
                  <c:v>4.1586509999999999</c:v>
                </c:pt>
                <c:pt idx="5">
                  <c:v>1.5993269999999999</c:v>
                </c:pt>
                <c:pt idx="6">
                  <c:v>4.6872220000000002</c:v>
                </c:pt>
                <c:pt idx="7">
                  <c:v>6.3922129999999999</c:v>
                </c:pt>
                <c:pt idx="8">
                  <c:v>7.6517379999999999</c:v>
                </c:pt>
                <c:pt idx="9">
                  <c:v>5.7873919999999996</c:v>
                </c:pt>
                <c:pt idx="10">
                  <c:v>3.5554549999999998</c:v>
                </c:pt>
                <c:pt idx="11">
                  <c:v>0.89733200000000002</c:v>
                </c:pt>
                <c:pt idx="12">
                  <c:v>1.3879220000000001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8-3644-A213-705A523C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9536"/>
        <c:axId val="417130416"/>
      </c:barChart>
      <c:catAx>
        <c:axId val="41711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30416"/>
        <c:crosses val="autoZero"/>
        <c:auto val="1"/>
        <c:lblAlgn val="ctr"/>
        <c:lblOffset val="100"/>
        <c:noMultiLvlLbl val="0"/>
      </c:catAx>
      <c:valAx>
        <c:axId val="41713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9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data!$A$157:$A$168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data!$C$157:$C$168</c:f>
              <c:numCache>
                <c:formatCode>_(* #,##0.00_);_(* \(#,##0.00\);_(* "-"??_);_(@_)</c:formatCode>
                <c:ptCount val="12"/>
                <c:pt idx="0">
                  <c:v>255.6104873046875</c:v>
                </c:pt>
                <c:pt idx="1">
                  <c:v>376.68700000000001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3597.0542089843748</c:v>
                </c:pt>
                <c:pt idx="6">
                  <c:v>1486.062054989158</c:v>
                </c:pt>
                <c:pt idx="7">
                  <c:v>2136.66015625</c:v>
                </c:pt>
                <c:pt idx="8">
                  <c:v>2656.0791894531249</c:v>
                </c:pt>
                <c:pt idx="9">
                  <c:v>5230.0020340442661</c:v>
                </c:pt>
                <c:pt idx="10">
                  <c:v>6550.8367006601075</c:v>
                </c:pt>
                <c:pt idx="11">
                  <c:v>9657.3361523437507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4-5A44-A381-802F91CE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7712"/>
        <c:axId val="361717920"/>
      </c:barChart>
      <c:catAx>
        <c:axId val="3617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7920"/>
        <c:crosses val="autoZero"/>
        <c:auto val="1"/>
        <c:lblAlgn val="ctr"/>
        <c:lblOffset val="100"/>
        <c:noMultiLvlLbl val="0"/>
      </c:catAx>
      <c:valAx>
        <c:axId val="361717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9760399738599"/>
          <c:y val="0.143607581541664"/>
          <c:w val="0.79186881127911657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data!$AF$276</c:f>
              <c:strCache>
                <c:ptCount val="1"/>
                <c:pt idx="0">
                  <c:v>VISITS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data!$AF$277:$AF$289</c:f>
              <c:numCache>
                <c:formatCode>_(* #,##0_);_(* \(#,##0\);_(* "-"??_);_(@_)</c:formatCode>
                <c:ptCount val="13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  <c:pt idx="9">
                  <c:v>88746</c:v>
                </c:pt>
                <c:pt idx="10">
                  <c:v>94980</c:v>
                </c:pt>
                <c:pt idx="11">
                  <c:v>103800</c:v>
                </c:pt>
                <c:pt idx="12">
                  <c:v>116716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6748-939D-79BA2D2BAB9E}"/>
            </c:ext>
          </c:extLst>
        </c:ser>
        <c:ser>
          <c:idx val="1"/>
          <c:order val="1"/>
          <c:tx>
            <c:strRef>
              <c:f>data!$AG$276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data!$AG$277:$AG$289</c:f>
              <c:numCache>
                <c:formatCode>_(* #,##0_);_(* \(#,##0\);_(* "-"??_);_(@_)</c:formatCode>
                <c:ptCount val="13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  <c:pt idx="9">
                  <c:v>893022</c:v>
                </c:pt>
                <c:pt idx="10">
                  <c:v>923167</c:v>
                </c:pt>
                <c:pt idx="11">
                  <c:v>1788088</c:v>
                </c:pt>
                <c:pt idx="12">
                  <c:v>1207528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C-6748-939D-79BA2D2BAB9E}"/>
            </c:ext>
          </c:extLst>
        </c:ser>
        <c:ser>
          <c:idx val="2"/>
          <c:order val="2"/>
          <c:tx>
            <c:strRef>
              <c:f>data!$AH$276</c:f>
              <c:strCache>
                <c:ptCount val="1"/>
                <c:pt idx="0">
                  <c:v>VISITORS</c:v>
                </c:pt>
              </c:strCache>
            </c:strRef>
          </c:tx>
          <c:invertIfNegative val="0"/>
          <c:cat>
            <c:strRef>
              <c:f>data!$A$277:$A$289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data!$AH$277:$AH$289</c:f>
              <c:numCache>
                <c:formatCode>_(* #,##0_);_(* \(#,##0\);_(* "-"??_);_(@_)</c:formatCode>
                <c:ptCount val="13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  <c:pt idx="9">
                  <c:v>72917</c:v>
                </c:pt>
                <c:pt idx="10">
                  <c:v>78103</c:v>
                </c:pt>
                <c:pt idx="11">
                  <c:v>83337</c:v>
                </c:pt>
                <c:pt idx="12">
                  <c:v>92528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C-6748-939D-79BA2D2B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0080"/>
        <c:axId val="417120624"/>
      </c:barChart>
      <c:catAx>
        <c:axId val="41712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624"/>
        <c:crosses val="autoZero"/>
        <c:auto val="1"/>
        <c:lblAlgn val="ctr"/>
        <c:lblOffset val="100"/>
        <c:noMultiLvlLbl val="0"/>
      </c:catAx>
      <c:valAx>
        <c:axId val="4171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00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936434307551413"/>
          <c:y val="0.1457732283464567"/>
          <c:w val="0.32772510614530426"/>
          <c:h val="0.10425533277868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L_data!$B$159</c:f>
              <c:strCache>
                <c:ptCount val="1"/>
                <c:pt idx="0">
                  <c:v>one week</c:v>
                </c:pt>
              </c:strCache>
            </c:strRef>
          </c:tx>
          <c:invertIfNegative val="0"/>
          <c:cat>
            <c:strRef>
              <c:f>L_data!$A$160:$A$169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L_data!$B$160:$B$169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15.204008052518342</c:v>
                </c:pt>
                <c:pt idx="3">
                  <c:v>15.701408315805288</c:v>
                </c:pt>
                <c:pt idx="4">
                  <c:v>16.356479679987981</c:v>
                </c:pt>
                <c:pt idx="5">
                  <c:v>16.326743895168047</c:v>
                </c:pt>
                <c:pt idx="6">
                  <c:v>20.760576923076922</c:v>
                </c:pt>
                <c:pt idx="7">
                  <c:v>21.101483846799091</c:v>
                </c:pt>
                <c:pt idx="8">
                  <c:v>18.820522293356575</c:v>
                </c:pt>
                <c:pt idx="9">
                  <c:v>36.055543475983356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934B-95EC-E2B348C7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6816"/>
        <c:axId val="417126064"/>
      </c:barChart>
      <c:catAx>
        <c:axId val="41711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6064"/>
        <c:crosses val="autoZero"/>
        <c:auto val="1"/>
        <c:lblAlgn val="ctr"/>
        <c:lblOffset val="100"/>
        <c:noMultiLvlLbl val="0"/>
      </c:catAx>
      <c:valAx>
        <c:axId val="417126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Weekly Average Volume (TB)</a:t>
                </a:r>
              </a:p>
            </c:rich>
          </c:tx>
          <c:layout>
            <c:manualLayout>
              <c:xMode val="edge"/>
              <c:yMode val="edge"/>
              <c:x val="4.7572208652556257E-2"/>
              <c:y val="0.137706517895841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16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5535193121098"/>
          <c:y val="0.14901950216041901"/>
          <c:w val="0.84160770982518418"/>
          <c:h val="0.68891197860574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L_Summary_data!$B$22:$B$31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L_Summary_data!$C$22:$C$31</c:f>
              <c:numCache>
                <c:formatCode>_(* #,##0.00_);_(* \(#,##0.00\);_(* "-"??_);_(@_)</c:formatCode>
                <c:ptCount val="10"/>
                <c:pt idx="0">
                  <c:v>239.357451171875</c:v>
                </c:pt>
                <c:pt idx="1">
                  <c:v>475.84899414062494</c:v>
                </c:pt>
                <c:pt idx="2">
                  <c:v>833.81921875</c:v>
                </c:pt>
                <c:pt idx="3">
                  <c:v>856.63578125000004</c:v>
                </c:pt>
                <c:pt idx="4">
                  <c:v>891.62641206054695</c:v>
                </c:pt>
                <c:pt idx="5">
                  <c:v>786.36682507619889</c:v>
                </c:pt>
                <c:pt idx="6" formatCode="_(* #,##0.0_);_(* \(#,##0.0\);_(* &quot;-&quot;??_);_(@_)">
                  <c:v>763.04</c:v>
                </c:pt>
                <c:pt idx="7" formatCode="_(* #,##0.0_);_(* \(#,##0.0\);_(* &quot;-&quot;??_);_(@_)">
                  <c:v>889.13361675249939</c:v>
                </c:pt>
                <c:pt idx="8" formatCode="_(* #,##0.0_);_(* \(#,##0.0\);_(* &quot;-&quot;??_);_(@_)">
                  <c:v>874.06199730241701</c:v>
                </c:pt>
                <c:pt idx="9" formatCode="_(* #,##0.0_);_(* \(#,##0.0\);_(* &quot;-&quot;??_);_(@_)">
                  <c:v>842.38937777741194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E94F-B6A7-6B8A4FE78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1168"/>
        <c:axId val="417122256"/>
      </c:barChart>
      <c:catAx>
        <c:axId val="4171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2256"/>
        <c:crosses val="autoZero"/>
        <c:auto val="1"/>
        <c:lblAlgn val="ctr"/>
        <c:lblOffset val="100"/>
        <c:noMultiLvlLbl val="0"/>
      </c:catAx>
      <c:valAx>
        <c:axId val="41712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1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L_data!$B$235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L_data!$A$236:$A$245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L_data!$B$236:$B$245</c:f>
              <c:numCache>
                <c:formatCode>_(* #,##0_);_(* \(#,##0\);_(* "-"??_);_(@_)</c:formatCode>
                <c:ptCount val="10"/>
                <c:pt idx="2">
                  <c:v>592471</c:v>
                </c:pt>
                <c:pt idx="3">
                  <c:v>555306</c:v>
                </c:pt>
                <c:pt idx="4">
                  <c:v>399036</c:v>
                </c:pt>
                <c:pt idx="5">
                  <c:v>349520</c:v>
                </c:pt>
                <c:pt idx="6">
                  <c:v>318452</c:v>
                </c:pt>
                <c:pt idx="7">
                  <c:v>302452</c:v>
                </c:pt>
                <c:pt idx="8">
                  <c:v>294901</c:v>
                </c:pt>
                <c:pt idx="9">
                  <c:v>231461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F-A24F-BBFE-A23ECD15E4E3}"/>
            </c:ext>
          </c:extLst>
        </c:ser>
        <c:ser>
          <c:idx val="1"/>
          <c:order val="1"/>
          <c:tx>
            <c:strRef>
              <c:f>L_data!$C$235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L_data!$A$236:$A$245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L_data!$C$236:$C$245</c:f>
              <c:numCache>
                <c:formatCode>_(* #,##0_);_(* \(#,##0\);_(* "-"??_);_(@_)</c:formatCode>
                <c:ptCount val="10"/>
                <c:pt idx="2">
                  <c:v>6582527</c:v>
                </c:pt>
                <c:pt idx="3">
                  <c:v>5791919</c:v>
                </c:pt>
                <c:pt idx="4">
                  <c:v>4085298</c:v>
                </c:pt>
                <c:pt idx="5">
                  <c:v>3443353</c:v>
                </c:pt>
                <c:pt idx="6">
                  <c:v>3076663</c:v>
                </c:pt>
                <c:pt idx="7">
                  <c:v>2925899</c:v>
                </c:pt>
                <c:pt idx="8">
                  <c:v>3706912</c:v>
                </c:pt>
                <c:pt idx="9">
                  <c:v>1897123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F-A24F-BBFE-A23ECD15E4E3}"/>
            </c:ext>
          </c:extLst>
        </c:ser>
        <c:ser>
          <c:idx val="2"/>
          <c:order val="2"/>
          <c:tx>
            <c:strRef>
              <c:f>L_data!$D$235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L_data!$A$236:$A$245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L_data!$D$236:$D$245</c:f>
              <c:numCache>
                <c:formatCode>_(* #,##0_);_(* \(#,##0\);_(* "-"??_);_(@_)</c:formatCode>
                <c:ptCount val="10"/>
                <c:pt idx="2">
                  <c:v>325462</c:v>
                </c:pt>
                <c:pt idx="3">
                  <c:v>298036</c:v>
                </c:pt>
                <c:pt idx="4">
                  <c:v>224482</c:v>
                </c:pt>
                <c:pt idx="5">
                  <c:v>198199</c:v>
                </c:pt>
                <c:pt idx="6">
                  <c:v>185720</c:v>
                </c:pt>
                <c:pt idx="7">
                  <c:v>198199</c:v>
                </c:pt>
                <c:pt idx="8">
                  <c:v>197163</c:v>
                </c:pt>
                <c:pt idx="9">
                  <c:v>180621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F-A24F-BBFE-A23ECD15E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1712"/>
        <c:axId val="417126608"/>
      </c:barChart>
      <c:catAx>
        <c:axId val="41712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6608"/>
        <c:crosses val="autoZero"/>
        <c:auto val="1"/>
        <c:lblAlgn val="ctr"/>
        <c:lblOffset val="100"/>
        <c:noMultiLvlLbl val="0"/>
      </c:catAx>
      <c:valAx>
        <c:axId val="4171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17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1"/>
          <c:y val="0.1678988510578774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L_Summary_data!$C$8</c:f>
              <c:strCache>
                <c:ptCount val="1"/>
                <c:pt idx="0">
                  <c:v>LANCE</c:v>
                </c:pt>
              </c:strCache>
            </c:strRef>
          </c:tx>
          <c:invertIfNegative val="0"/>
          <c:cat>
            <c:strRef>
              <c:f>L_Summary_data!$B$9:$B$18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L_Summary_data!$C$9:$C$18</c:f>
              <c:numCache>
                <c:formatCode>_(* #,##0.0_);_(* \(#,##0.0\);_(* "-"??_);_(@_)</c:formatCode>
                <c:ptCount val="10"/>
                <c:pt idx="0">
                  <c:v>17.264521999999999</c:v>
                </c:pt>
                <c:pt idx="1">
                  <c:v>22.105111999999998</c:v>
                </c:pt>
                <c:pt idx="2">
                  <c:v>65.958472999999998</c:v>
                </c:pt>
                <c:pt idx="3">
                  <c:v>89.748705000000001</c:v>
                </c:pt>
                <c:pt idx="4">
                  <c:v>69.865531000000004</c:v>
                </c:pt>
                <c:pt idx="5">
                  <c:v>72.539675000000003</c:v>
                </c:pt>
                <c:pt idx="6">
                  <c:v>76.3</c:v>
                </c:pt>
                <c:pt idx="7">
                  <c:v>123.179919</c:v>
                </c:pt>
                <c:pt idx="8">
                  <c:v>134.37852100000001</c:v>
                </c:pt>
                <c:pt idx="9">
                  <c:v>90.093598999999998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AB4F-B9BB-AA9DDAB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23344"/>
        <c:axId val="417123888"/>
      </c:barChart>
      <c:catAx>
        <c:axId val="41712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888"/>
        <c:crosses val="autoZero"/>
        <c:auto val="1"/>
        <c:lblAlgn val="ctr"/>
        <c:lblOffset val="100"/>
        <c:noMultiLvlLbl val="0"/>
      </c:catAx>
      <c:valAx>
        <c:axId val="41712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9.8910104196542736E-3"/>
              <c:y val="0.173288692162952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171233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L_data!$B$302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L_data!$A$303:$A$312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L_data!$B$303:$B$312</c:f>
              <c:numCache>
                <c:formatCode>_(* #,##0_);_(* \(#,##0\);_(* "-"??_);_(@_)</c:formatCode>
                <c:ptCount val="10"/>
                <c:pt idx="2">
                  <c:v>592471</c:v>
                </c:pt>
                <c:pt idx="3">
                  <c:v>555306</c:v>
                </c:pt>
                <c:pt idx="4">
                  <c:v>399036</c:v>
                </c:pt>
                <c:pt idx="5">
                  <c:v>349520</c:v>
                </c:pt>
                <c:pt idx="6">
                  <c:v>318452</c:v>
                </c:pt>
                <c:pt idx="7">
                  <c:v>302452</c:v>
                </c:pt>
                <c:pt idx="8">
                  <c:v>294901</c:v>
                </c:pt>
                <c:pt idx="9" formatCode="#,##0">
                  <c:v>272524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A-E74E-8599-2B6237B4829F}"/>
            </c:ext>
          </c:extLst>
        </c:ser>
        <c:ser>
          <c:idx val="1"/>
          <c:order val="1"/>
          <c:tx>
            <c:strRef>
              <c:f>L_data!$C$302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L_data!$A$303:$A$312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L_data!$C$303:$C$312</c:f>
              <c:numCache>
                <c:formatCode>_(* #,##0_);_(* \(#,##0\);_(* "-"??_);_(@_)</c:formatCode>
                <c:ptCount val="10"/>
                <c:pt idx="2">
                  <c:v>6582527</c:v>
                </c:pt>
                <c:pt idx="3">
                  <c:v>5791919</c:v>
                </c:pt>
                <c:pt idx="4">
                  <c:v>4085298</c:v>
                </c:pt>
                <c:pt idx="5">
                  <c:v>3443353</c:v>
                </c:pt>
                <c:pt idx="6">
                  <c:v>3076663</c:v>
                </c:pt>
                <c:pt idx="7">
                  <c:v>2925899</c:v>
                </c:pt>
                <c:pt idx="8">
                  <c:v>3706912</c:v>
                </c:pt>
                <c:pt idx="9" formatCode="#,##0">
                  <c:v>1106932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A-E74E-8599-2B6237B4829F}"/>
            </c:ext>
          </c:extLst>
        </c:ser>
        <c:ser>
          <c:idx val="2"/>
          <c:order val="2"/>
          <c:tx>
            <c:strRef>
              <c:f>L_data!$D$302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L_data!$A$303:$A$312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L_data!$D$303:$D$312</c:f>
              <c:numCache>
                <c:formatCode>_(* #,##0_);_(* \(#,##0\);_(* "-"??_);_(@_)</c:formatCode>
                <c:ptCount val="10"/>
                <c:pt idx="2">
                  <c:v>325462</c:v>
                </c:pt>
                <c:pt idx="3">
                  <c:v>298036</c:v>
                </c:pt>
                <c:pt idx="4">
                  <c:v>224482</c:v>
                </c:pt>
                <c:pt idx="5">
                  <c:v>198199</c:v>
                </c:pt>
                <c:pt idx="6">
                  <c:v>185720</c:v>
                </c:pt>
                <c:pt idx="7">
                  <c:v>198199</c:v>
                </c:pt>
                <c:pt idx="8">
                  <c:v>197163</c:v>
                </c:pt>
                <c:pt idx="9" formatCode="#,##0">
                  <c:v>234658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A-E74E-8599-2B6237B4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24432"/>
        <c:axId val="417127152"/>
      </c:barChart>
      <c:catAx>
        <c:axId val="417124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7152"/>
        <c:crosses val="autoZero"/>
        <c:auto val="1"/>
        <c:lblAlgn val="ctr"/>
        <c:lblOffset val="100"/>
        <c:noMultiLvlLbl val="0"/>
      </c:catAx>
      <c:valAx>
        <c:axId val="4171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44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1"/>
          <c:y val="0.1678988510578774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data!$C$171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data!$A$172:$A$183</c:f>
              <c:strCache>
                <c:ptCount val="12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  <c:pt idx="10">
                  <c:v>FY18</c:v>
                </c:pt>
                <c:pt idx="11">
                  <c:v>FY19</c:v>
                </c:pt>
              </c:strCache>
            </c:strRef>
          </c:cat>
          <c:val>
            <c:numRef>
              <c:f>data!$C$172:$C$183</c:f>
              <c:numCache>
                <c:formatCode>0.0%</c:formatCode>
                <c:ptCount val="12"/>
                <c:pt idx="0">
                  <c:v>4.2850024912805179E-2</c:v>
                </c:pt>
                <c:pt idx="1">
                  <c:v>6.5149136577708003E-2</c:v>
                </c:pt>
                <c:pt idx="2">
                  <c:v>4.4993735049550065E-2</c:v>
                </c:pt>
                <c:pt idx="3">
                  <c:v>0.14648586707410235</c:v>
                </c:pt>
                <c:pt idx="4">
                  <c:v>0.20397167487684728</c:v>
                </c:pt>
                <c:pt idx="5">
                  <c:v>0.20597179983411668</c:v>
                </c:pt>
                <c:pt idx="6">
                  <c:v>0.14301525812317178</c:v>
                </c:pt>
                <c:pt idx="7">
                  <c:v>0.15005534433803358</c:v>
                </c:pt>
                <c:pt idx="8">
                  <c:v>0.28227502356723311</c:v>
                </c:pt>
                <c:pt idx="9">
                  <c:v>0.55823526083512509</c:v>
                </c:pt>
                <c:pt idx="10">
                  <c:v>0.4168061412448924</c:v>
                </c:pt>
                <c:pt idx="11">
                  <c:v>0.41821498650968847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7-C744-AA51-67CC33F42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27168"/>
        <c:axId val="361719008"/>
      </c:lineChart>
      <c:catAx>
        <c:axId val="36172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19008"/>
        <c:crosses val="autoZero"/>
        <c:auto val="1"/>
        <c:lblAlgn val="ctr"/>
        <c:lblOffset val="100"/>
        <c:noMultiLvlLbl val="0"/>
      </c:catAx>
      <c:valAx>
        <c:axId val="36171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7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data!$E$256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data!$E$257:$E$269</c:f>
              <c:numCache>
                <c:formatCode>_(* #,##0_);_(* \(#,##0\);_(* "-"??_);_(@_)</c:formatCode>
                <c:ptCount val="13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  <c:pt idx="9">
                  <c:v>65720</c:v>
                </c:pt>
                <c:pt idx="10">
                  <c:v>108364</c:v>
                </c:pt>
                <c:pt idx="11">
                  <c:v>161646</c:v>
                </c:pt>
                <c:pt idx="12">
                  <c:v>197225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C-5341-9E0C-9847932E61CE}"/>
            </c:ext>
          </c:extLst>
        </c:ser>
        <c:ser>
          <c:idx val="1"/>
          <c:order val="1"/>
          <c:tx>
            <c:strRef>
              <c:f>data!$F$256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data!$F$257:$F$269</c:f>
              <c:numCache>
                <c:formatCode>_(* #,##0_);_(* \(#,##0\);_(* "-"??_);_(@_)</c:formatCode>
                <c:ptCount val="13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  <c:pt idx="9">
                  <c:v>295582</c:v>
                </c:pt>
                <c:pt idx="10">
                  <c:v>388556</c:v>
                </c:pt>
                <c:pt idx="11">
                  <c:v>551398</c:v>
                </c:pt>
                <c:pt idx="12">
                  <c:v>1074442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C-5341-9E0C-9847932E61CE}"/>
            </c:ext>
          </c:extLst>
        </c:ser>
        <c:ser>
          <c:idx val="2"/>
          <c:order val="2"/>
          <c:tx>
            <c:strRef>
              <c:f>data!$G$256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data!$A$257:$A$269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data!$G$257:$G$269</c:f>
              <c:numCache>
                <c:formatCode>_(* #,##0_);_(* \(#,##0\);_(* "-"??_);_(@_)</c:formatCode>
                <c:ptCount val="13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  <c:pt idx="9">
                  <c:v>41371</c:v>
                </c:pt>
                <c:pt idx="10">
                  <c:v>70696</c:v>
                </c:pt>
                <c:pt idx="11">
                  <c:v>106949</c:v>
                </c:pt>
                <c:pt idx="12">
                  <c:v>130464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C-5341-9E0C-9847932E6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20096"/>
        <c:axId val="361715200"/>
      </c:barChart>
      <c:catAx>
        <c:axId val="36172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15200"/>
        <c:crosses val="autoZero"/>
        <c:auto val="1"/>
        <c:lblAlgn val="ctr"/>
        <c:lblOffset val="100"/>
        <c:noMultiLvlLbl val="0"/>
      </c:catAx>
      <c:valAx>
        <c:axId val="3617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009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Summary_data!$C$21:$C$33</c:f>
              <c:strCache>
                <c:ptCount val="13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</c:strCache>
            </c:strRef>
          </c:cat>
          <c:val>
            <c:numRef>
              <c:f>Summary_data!$E$21:$E$33</c:f>
              <c:numCache>
                <c:formatCode>_(* #,##0.0_);_(* \(#,##0.0\);_(* "-"??_);_(@_)</c:formatCode>
                <c:ptCount val="13"/>
                <c:pt idx="0">
                  <c:v>0</c:v>
                </c:pt>
                <c:pt idx="1">
                  <c:v>0.30386999999999997</c:v>
                </c:pt>
                <c:pt idx="2">
                  <c:v>0.47285700000000003</c:v>
                </c:pt>
                <c:pt idx="3">
                  <c:v>0.101671</c:v>
                </c:pt>
                <c:pt idx="4">
                  <c:v>0.36860900000000002</c:v>
                </c:pt>
                <c:pt idx="5">
                  <c:v>0.846248</c:v>
                </c:pt>
                <c:pt idx="6">
                  <c:v>0.67360799999999998</c:v>
                </c:pt>
                <c:pt idx="7">
                  <c:v>1.1101460000000001</c:v>
                </c:pt>
                <c:pt idx="8">
                  <c:v>2.0008599999999999</c:v>
                </c:pt>
                <c:pt idx="9">
                  <c:v>5.1804249999999996</c:v>
                </c:pt>
                <c:pt idx="10">
                  <c:v>6.6679250000000003</c:v>
                </c:pt>
                <c:pt idx="11">
                  <c:v>11.235903</c:v>
                </c:pt>
                <c:pt idx="12">
                  <c:v>31.991156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D-9845-B634-7BAE4E95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2816"/>
        <c:axId val="361723360"/>
      </c:barChart>
      <c:catAx>
        <c:axId val="3617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3360"/>
        <c:crosses val="autoZero"/>
        <c:auto val="1"/>
        <c:lblAlgn val="ctr"/>
        <c:lblOffset val="100"/>
        <c:noMultiLvlLbl val="0"/>
      </c:catAx>
      <c:valAx>
        <c:axId val="36172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361722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15</xdr:row>
      <xdr:rowOff>21693</xdr:rowOff>
    </xdr:from>
    <xdr:to>
      <xdr:col>3</xdr:col>
      <xdr:colOff>1301749</xdr:colOff>
      <xdr:row>24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377470</xdr:rowOff>
    </xdr:from>
    <xdr:to>
      <xdr:col>3</xdr:col>
      <xdr:colOff>1238250</xdr:colOff>
      <xdr:row>51</xdr:row>
      <xdr:rowOff>10583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486834</xdr:colOff>
      <xdr:row>24</xdr:row>
      <xdr:rowOff>197556</xdr:rowOff>
    </xdr:from>
    <xdr:to>
      <xdr:col>3</xdr:col>
      <xdr:colOff>1340555</xdr:colOff>
      <xdr:row>33</xdr:row>
      <xdr:rowOff>366889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211666</xdr:colOff>
      <xdr:row>15</xdr:row>
      <xdr:rowOff>21167</xdr:rowOff>
    </xdr:from>
    <xdr:to>
      <xdr:col>10</xdr:col>
      <xdr:colOff>1947333</xdr:colOff>
      <xdr:row>24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230010</xdr:colOff>
      <xdr:row>24</xdr:row>
      <xdr:rowOff>186973</xdr:rowOff>
    </xdr:from>
    <xdr:to>
      <xdr:col>11</xdr:col>
      <xdr:colOff>353</xdr:colOff>
      <xdr:row>33</xdr:row>
      <xdr:rowOff>370417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980F5B-7602-2341-84A6-20198A327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0.19648</cdr:x>
      <cdr:y>0.01022</cdr:y>
    </cdr:from>
    <cdr:to>
      <cdr:x>0.86185</cdr:x>
      <cdr:y>0.10812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6114" y="30348"/>
          <a:ext cx="4186134" cy="290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0.21876</cdr:x>
      <cdr:y>0.01731</cdr:y>
    </cdr:from>
    <cdr:to>
      <cdr:x>0.88413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88015" y="51904"/>
          <a:ext cx="3917606" cy="293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462139</xdr:colOff>
      <xdr:row>15</xdr:row>
      <xdr:rowOff>7584</xdr:rowOff>
    </xdr:from>
    <xdr:to>
      <xdr:col>3</xdr:col>
      <xdr:colOff>1301750</xdr:colOff>
      <xdr:row>23</xdr:row>
      <xdr:rowOff>296334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5037</xdr:colOff>
      <xdr:row>35</xdr:row>
      <xdr:rowOff>22172</xdr:rowOff>
    </xdr:from>
    <xdr:to>
      <xdr:col>3</xdr:col>
      <xdr:colOff>1312333</xdr:colOff>
      <xdr:row>53</xdr:row>
      <xdr:rowOff>10583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474486</xdr:colOff>
      <xdr:row>24</xdr:row>
      <xdr:rowOff>190500</xdr:rowOff>
    </xdr:from>
    <xdr:to>
      <xdr:col>3</xdr:col>
      <xdr:colOff>1322916</xdr:colOff>
      <xdr:row>33</xdr:row>
      <xdr:rowOff>317499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25702</xdr:colOff>
      <xdr:row>15</xdr:row>
      <xdr:rowOff>10581</xdr:rowOff>
    </xdr:from>
    <xdr:to>
      <xdr:col>11</xdr:col>
      <xdr:colOff>0</xdr:colOff>
      <xdr:row>24</xdr:row>
      <xdr:rowOff>10584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222250</xdr:colOff>
      <xdr:row>24</xdr:row>
      <xdr:rowOff>211667</xdr:rowOff>
    </xdr:from>
    <xdr:to>
      <xdr:col>11</xdr:col>
      <xdr:colOff>0</xdr:colOff>
      <xdr:row>33</xdr:row>
      <xdr:rowOff>306916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13671C-B8B8-2345-BECD-8D74B0CCD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0.10406</cdr:x>
      <cdr:y>0.01203</cdr:y>
    </cdr:from>
    <cdr:to>
      <cdr:x>0.97535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0167" y="39584"/>
          <a:ext cx="5611296" cy="36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LAADS DAAC Yearly Percentage of Web Users  Downloading Data</a:t>
          </a:r>
          <a:endParaRPr lang="en-US" sz="16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0.16642</cdr:x>
      <cdr:y>0.01032</cdr:y>
    </cdr:from>
    <cdr:to>
      <cdr:x>0.83179</cdr:x>
      <cdr:y>0.10822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74664" y="30794"/>
          <a:ext cx="4296691" cy="292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LAADS DAAC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0.19202</cdr:x>
      <cdr:y>0.01004</cdr:y>
    </cdr:from>
    <cdr:to>
      <cdr:x>0.85739</cdr:x>
      <cdr:y>0.10794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6082" y="28404"/>
          <a:ext cx="3936619" cy="276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LAADS 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502960</xdr:colOff>
      <xdr:row>14</xdr:row>
      <xdr:rowOff>221264</xdr:rowOff>
    </xdr:from>
    <xdr:to>
      <xdr:col>3</xdr:col>
      <xdr:colOff>1411110</xdr:colOff>
      <xdr:row>23</xdr:row>
      <xdr:rowOff>305908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475745</xdr:colOff>
      <xdr:row>34</xdr:row>
      <xdr:rowOff>380495</xdr:rowOff>
    </xdr:from>
    <xdr:to>
      <xdr:col>4</xdr:col>
      <xdr:colOff>0</xdr:colOff>
      <xdr:row>51</xdr:row>
      <xdr:rowOff>21166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706</xdr:colOff>
      <xdr:row>24</xdr:row>
      <xdr:rowOff>155223</xdr:rowOff>
    </xdr:from>
    <xdr:to>
      <xdr:col>3</xdr:col>
      <xdr:colOff>1344083</xdr:colOff>
      <xdr:row>34</xdr:row>
      <xdr:rowOff>21166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228297</xdr:colOff>
      <xdr:row>15</xdr:row>
      <xdr:rowOff>9070</xdr:rowOff>
    </xdr:from>
    <xdr:to>
      <xdr:col>11</xdr:col>
      <xdr:colOff>7560</xdr:colOff>
      <xdr:row>23</xdr:row>
      <xdr:rowOff>312963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10582</xdr:colOff>
      <xdr:row>24</xdr:row>
      <xdr:rowOff>165805</xdr:rowOff>
    </xdr:from>
    <xdr:to>
      <xdr:col>10</xdr:col>
      <xdr:colOff>1947332</xdr:colOff>
      <xdr:row>34</xdr:row>
      <xdr:rowOff>10582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E7A831-1877-C54C-9B09-1258E369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0.13796</cdr:x>
      <cdr:y>0.01203</cdr:y>
    </cdr:from>
    <cdr:to>
      <cdr:x>0.96033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3390" y="36164"/>
          <a:ext cx="5266031" cy="359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0.20045</cdr:x>
      <cdr:y>0.0103</cdr:y>
    </cdr:from>
    <cdr:to>
      <cdr:x>0.86582</cdr:x>
      <cdr:y>0.1082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81178" y="31321"/>
          <a:ext cx="4252797" cy="297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462138</xdr:colOff>
      <xdr:row>14</xdr:row>
      <xdr:rowOff>219247</xdr:rowOff>
    </xdr:from>
    <xdr:to>
      <xdr:col>3</xdr:col>
      <xdr:colOff>1312333</xdr:colOff>
      <xdr:row>23</xdr:row>
      <xdr:rowOff>292805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14112</xdr:colOff>
      <xdr:row>35</xdr:row>
      <xdr:rowOff>7054</xdr:rowOff>
    </xdr:from>
    <xdr:to>
      <xdr:col>3</xdr:col>
      <xdr:colOff>1238251</xdr:colOff>
      <xdr:row>50</xdr:row>
      <xdr:rowOff>137584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472018</xdr:colOff>
      <xdr:row>24</xdr:row>
      <xdr:rowOff>141112</xdr:rowOff>
    </xdr:from>
    <xdr:to>
      <xdr:col>4</xdr:col>
      <xdr:colOff>0</xdr:colOff>
      <xdr:row>33</xdr:row>
      <xdr:rowOff>296334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10584</xdr:colOff>
      <xdr:row>15</xdr:row>
      <xdr:rowOff>10585</xdr:rowOff>
    </xdr:from>
    <xdr:to>
      <xdr:col>11</xdr:col>
      <xdr:colOff>1</xdr:colOff>
      <xdr:row>24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229306</xdr:colOff>
      <xdr:row>24</xdr:row>
      <xdr:rowOff>169334</xdr:rowOff>
    </xdr:from>
    <xdr:to>
      <xdr:col>11</xdr:col>
      <xdr:colOff>0</xdr:colOff>
      <xdr:row>34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6C1EB5-1CCA-4142-8934-79E6CB01D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0.19997</cdr:x>
      <cdr:y>0.01378</cdr:y>
    </cdr:from>
    <cdr:to>
      <cdr:x>0.86534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62161" y="41515"/>
          <a:ext cx="4199749" cy="294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0.2278</cdr:x>
      <cdr:y>0.01378</cdr:y>
    </cdr:from>
    <cdr:to>
      <cdr:x>0.89317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505" y="41418"/>
          <a:ext cx="3938730" cy="29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469193</xdr:colOff>
      <xdr:row>15</xdr:row>
      <xdr:rowOff>25221</xdr:rowOff>
    </xdr:from>
    <xdr:to>
      <xdr:col>3</xdr:col>
      <xdr:colOff>1354666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26207</xdr:colOff>
      <xdr:row>35</xdr:row>
      <xdr:rowOff>14109</xdr:rowOff>
    </xdr:from>
    <xdr:to>
      <xdr:col>3</xdr:col>
      <xdr:colOff>1344083</xdr:colOff>
      <xdr:row>50</xdr:row>
      <xdr:rowOff>137583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190502</xdr:rowOff>
    </xdr:from>
    <xdr:to>
      <xdr:col>4</xdr:col>
      <xdr:colOff>10583</xdr:colOff>
      <xdr:row>33</xdr:row>
      <xdr:rowOff>296334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15118</xdr:colOff>
      <xdr:row>15</xdr:row>
      <xdr:rowOff>24189</xdr:rowOff>
    </xdr:from>
    <xdr:to>
      <xdr:col>11</xdr:col>
      <xdr:colOff>0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3176</xdr:colOff>
      <xdr:row>24</xdr:row>
      <xdr:rowOff>208139</xdr:rowOff>
    </xdr:from>
    <xdr:to>
      <xdr:col>11</xdr:col>
      <xdr:colOff>15523</xdr:colOff>
      <xdr:row>33</xdr:row>
      <xdr:rowOff>292805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2AD497-6F38-AC46-A2A2-8A2E342C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0.14107</cdr:x>
      <cdr:y>0.02279</cdr:y>
    </cdr:from>
    <cdr:to>
      <cdr:x>0.95865</cdr:x>
      <cdr:y>0.1471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2524" y="77351"/>
          <a:ext cx="5230769" cy="421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0.20246</cdr:x>
      <cdr:y>0.01378</cdr:y>
    </cdr:from>
    <cdr:to>
      <cdr:x>0.86783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07076" y="40835"/>
          <a:ext cx="4295517" cy="29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15</xdr:row>
      <xdr:rowOff>7582</xdr:rowOff>
    </xdr:from>
    <xdr:to>
      <xdr:col>3</xdr:col>
      <xdr:colOff>1400528</xdr:colOff>
      <xdr:row>23</xdr:row>
      <xdr:rowOff>321027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6299</xdr:colOff>
      <xdr:row>34</xdr:row>
      <xdr:rowOff>360084</xdr:rowOff>
    </xdr:from>
    <xdr:to>
      <xdr:col>4</xdr:col>
      <xdr:colOff>10583</xdr:colOff>
      <xdr:row>51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4033</xdr:colOff>
      <xdr:row>24</xdr:row>
      <xdr:rowOff>211666</xdr:rowOff>
    </xdr:from>
    <xdr:to>
      <xdr:col>4</xdr:col>
      <xdr:colOff>10584</xdr:colOff>
      <xdr:row>33</xdr:row>
      <xdr:rowOff>310192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15685</xdr:colOff>
      <xdr:row>15</xdr:row>
      <xdr:rowOff>10960</xdr:rowOff>
    </xdr:from>
    <xdr:to>
      <xdr:col>11</xdr:col>
      <xdr:colOff>16065</xdr:colOff>
      <xdr:row>24</xdr:row>
      <xdr:rowOff>377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10584</xdr:colOff>
      <xdr:row>24</xdr:row>
      <xdr:rowOff>190499</xdr:rowOff>
    </xdr:from>
    <xdr:to>
      <xdr:col>11</xdr:col>
      <xdr:colOff>10582</xdr:colOff>
      <xdr:row>34</xdr:row>
      <xdr:rowOff>10583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A5CBF7-71C1-FA4B-B929-03D42592E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0.22006</cdr:x>
      <cdr:y>0.0172</cdr:y>
    </cdr:from>
    <cdr:to>
      <cdr:x>0.88543</cdr:x>
      <cdr:y>0.1151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87056" y="53169"/>
          <a:ext cx="4193880" cy="302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0.12141</cdr:x>
      <cdr:y>0.01686</cdr:y>
    </cdr:from>
    <cdr:to>
      <cdr:x>0.97282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5064" y="50671"/>
          <a:ext cx="5365047" cy="31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0.20663</cdr:x>
      <cdr:y>0.01736</cdr:y>
    </cdr:from>
    <cdr:to>
      <cdr:x>0.872</cdr:x>
      <cdr:y>0.11526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02522" y="51317"/>
          <a:ext cx="4194249" cy="28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0.22601</cdr:x>
      <cdr:y>0.01731</cdr:y>
    </cdr:from>
    <cdr:to>
      <cdr:x>0.89138</cdr:x>
      <cdr:y>0.11521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7080" y="51855"/>
          <a:ext cx="3936383" cy="293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11465</xdr:colOff>
      <xdr:row>14</xdr:row>
      <xdr:rowOff>224980</xdr:rowOff>
    </xdr:from>
    <xdr:to>
      <xdr:col>3</xdr:col>
      <xdr:colOff>1227667</xdr:colOff>
      <xdr:row>23</xdr:row>
      <xdr:rowOff>306915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10710</xdr:colOff>
      <xdr:row>35</xdr:row>
      <xdr:rowOff>6549</xdr:rowOff>
    </xdr:from>
    <xdr:to>
      <xdr:col>3</xdr:col>
      <xdr:colOff>1227667</xdr:colOff>
      <xdr:row>50</xdr:row>
      <xdr:rowOff>137582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471400</xdr:colOff>
      <xdr:row>24</xdr:row>
      <xdr:rowOff>214691</xdr:rowOff>
    </xdr:from>
    <xdr:to>
      <xdr:col>3</xdr:col>
      <xdr:colOff>1227667</xdr:colOff>
      <xdr:row>34</xdr:row>
      <xdr:rowOff>3024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945</xdr:colOff>
      <xdr:row>14</xdr:row>
      <xdr:rowOff>232833</xdr:rowOff>
    </xdr:from>
    <xdr:to>
      <xdr:col>11</xdr:col>
      <xdr:colOff>0</xdr:colOff>
      <xdr:row>23</xdr:row>
      <xdr:rowOff>305215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3175</xdr:colOff>
      <xdr:row>24</xdr:row>
      <xdr:rowOff>211666</xdr:rowOff>
    </xdr:from>
    <xdr:to>
      <xdr:col>10</xdr:col>
      <xdr:colOff>1936750</xdr:colOff>
      <xdr:row>34</xdr:row>
      <xdr:rowOff>14112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4D5CF5-BFF1-D54B-A8BE-BFDAEA565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0.2318</cdr:x>
      <cdr:y>0.01378</cdr:y>
    </cdr:from>
    <cdr:to>
      <cdr:x>0.89717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8343" y="40835"/>
          <a:ext cx="4186075" cy="29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14196</xdr:rowOff>
    </xdr:from>
    <xdr:to>
      <xdr:col>3</xdr:col>
      <xdr:colOff>1379538</xdr:colOff>
      <xdr:row>21</xdr:row>
      <xdr:rowOff>312648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10584</xdr:colOff>
      <xdr:row>32</xdr:row>
      <xdr:rowOff>373942</xdr:rowOff>
    </xdr:from>
    <xdr:to>
      <xdr:col>3</xdr:col>
      <xdr:colOff>1227667</xdr:colOff>
      <xdr:row>45</xdr:row>
      <xdr:rowOff>158749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22</xdr:row>
      <xdr:rowOff>275166</xdr:rowOff>
    </xdr:from>
    <xdr:to>
      <xdr:col>4</xdr:col>
      <xdr:colOff>0</xdr:colOff>
      <xdr:row>32</xdr:row>
      <xdr:rowOff>21167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169334</xdr:colOff>
      <xdr:row>10</xdr:row>
      <xdr:rowOff>74084</xdr:rowOff>
    </xdr:from>
    <xdr:to>
      <xdr:col>9</xdr:col>
      <xdr:colOff>784215</xdr:colOff>
      <xdr:row>11</xdr:row>
      <xdr:rowOff>173379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8964084" y="2910417"/>
          <a:ext cx="1577964" cy="3321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  <xdr:twoCellAnchor>
    <xdr:from>
      <xdr:col>5</xdr:col>
      <xdr:colOff>0</xdr:colOff>
      <xdr:row>22</xdr:row>
      <xdr:rowOff>310445</xdr:rowOff>
    </xdr:from>
    <xdr:to>
      <xdr:col>10</xdr:col>
      <xdr:colOff>1943806</xdr:colOff>
      <xdr:row>32</xdr:row>
      <xdr:rowOff>7057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A1901A2-E565-704B-8FDA-0229389EA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0.36544</cdr:y>
    </cdr:from>
    <cdr:to>
      <cdr:x>0.7015</cdr:x>
      <cdr:y>0.48212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680533" y="1040177"/>
          <a:ext cx="1577964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0.05553</cdr:x>
      <cdr:y>0.0072</cdr:y>
    </cdr:from>
    <cdr:to>
      <cdr:x>0.95971</cdr:x>
      <cdr:y>0.11702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9262" y="20275"/>
          <a:ext cx="5361547" cy="30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/>
        </a:p>
      </cdr:txBody>
    </cdr:sp>
  </cdr:relSizeAnchor>
  <cdr:relSizeAnchor xmlns:cdr="http://schemas.openxmlformats.org/drawingml/2006/chartDrawing">
    <cdr:from>
      <cdr:x>0.43076</cdr:x>
      <cdr:y>0.42129</cdr:y>
    </cdr:from>
    <cdr:to>
      <cdr:x>0.7111</cdr:x>
      <cdr:y>0.53752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552960" y="1203833"/>
          <a:ext cx="166150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0.2278</cdr:x>
      <cdr:y>0.02401</cdr:y>
    </cdr:from>
    <cdr:to>
      <cdr:x>0.89317</cdr:x>
      <cdr:y>0.12191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421" y="74529"/>
          <a:ext cx="3938497" cy="303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5" name="TextBox 1"/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  <cdr:relSizeAnchor xmlns:cdr="http://schemas.openxmlformats.org/drawingml/2006/chartDrawing">
    <cdr:from>
      <cdr:x>0.17119</cdr:x>
      <cdr:y>0.01069</cdr:y>
    </cdr:from>
    <cdr:to>
      <cdr:x>0.83656</cdr:x>
      <cdr:y>0.10859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BBD50E55-7189-5940-9512-2617936F1D0C}"/>
            </a:ext>
          </a:extLst>
        </cdr:cNvPr>
        <cdr:cNvSpPr txBox="1"/>
      </cdr:nvSpPr>
      <cdr:spPr>
        <a:xfrm xmlns:a="http://schemas.openxmlformats.org/drawingml/2006/main">
          <a:off x="1076186" y="31749"/>
          <a:ext cx="4182847" cy="290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 - 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2A6272B-8E9F-F643-97AD-B099368BB846}"/>
            </a:ext>
          </a:extLst>
        </cdr:cNvPr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0.21522</cdr:x>
      <cdr:y>0.01378</cdr:y>
    </cdr:from>
    <cdr:to>
      <cdr:x>0.88059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70214" y="39571"/>
          <a:ext cx="3926995" cy="28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Accesses- 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5" name="TextBox 1"/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153898</xdr:colOff>
      <xdr:row>14</xdr:row>
      <xdr:rowOff>223656</xdr:rowOff>
    </xdr:from>
    <xdr:to>
      <xdr:col>3</xdr:col>
      <xdr:colOff>1377332</xdr:colOff>
      <xdr:row>23</xdr:row>
      <xdr:rowOff>311324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474675</xdr:colOff>
      <xdr:row>35</xdr:row>
      <xdr:rowOff>13859</xdr:rowOff>
    </xdr:from>
    <xdr:to>
      <xdr:col>3</xdr:col>
      <xdr:colOff>1227666</xdr:colOff>
      <xdr:row>50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20097</xdr:colOff>
      <xdr:row>24</xdr:row>
      <xdr:rowOff>214817</xdr:rowOff>
    </xdr:from>
    <xdr:to>
      <xdr:col>3</xdr:col>
      <xdr:colOff>1227666</xdr:colOff>
      <xdr:row>34</xdr:row>
      <xdr:rowOff>3150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7180</xdr:colOff>
      <xdr:row>15</xdr:row>
      <xdr:rowOff>9258</xdr:rowOff>
    </xdr:from>
    <xdr:to>
      <xdr:col>11</xdr:col>
      <xdr:colOff>7560</xdr:colOff>
      <xdr:row>23</xdr:row>
      <xdr:rowOff>308237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229303</xdr:colOff>
      <xdr:row>24</xdr:row>
      <xdr:rowOff>225778</xdr:rowOff>
    </xdr:from>
    <xdr:to>
      <xdr:col>10</xdr:col>
      <xdr:colOff>1931105</xdr:colOff>
      <xdr:row>34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782C25-7539-C949-8896-18CB5F889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0.13119</cdr:x>
      <cdr:y>0.00715</cdr:y>
    </cdr:from>
    <cdr:to>
      <cdr:x>1</cdr:x>
      <cdr:y>0.12761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0471" y="21167"/>
          <a:ext cx="5499937" cy="356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0.17914</cdr:x>
      <cdr:y>0.00664</cdr:y>
    </cdr:from>
    <cdr:to>
      <cdr:x>0.84451</cdr:x>
      <cdr:y>0.10454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17201" y="19668"/>
          <a:ext cx="4149650" cy="29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0.20979</cdr:x>
      <cdr:y>0.01378</cdr:y>
    </cdr:from>
    <cdr:to>
      <cdr:x>0.87516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6277" y="40640"/>
          <a:ext cx="3920894" cy="288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15</xdr:row>
      <xdr:rowOff>9787</xdr:rowOff>
    </xdr:from>
    <xdr:to>
      <xdr:col>4</xdr:col>
      <xdr:colOff>89</xdr:colOff>
      <xdr:row>23</xdr:row>
      <xdr:rowOff>313707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471967</xdr:colOff>
      <xdr:row>35</xdr:row>
      <xdr:rowOff>10707</xdr:rowOff>
    </xdr:from>
    <xdr:to>
      <xdr:col>4</xdr:col>
      <xdr:colOff>0</xdr:colOff>
      <xdr:row>50</xdr:row>
      <xdr:rowOff>137583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474928</xdr:colOff>
      <xdr:row>24</xdr:row>
      <xdr:rowOff>206061</xdr:rowOff>
    </xdr:from>
    <xdr:to>
      <xdr:col>3</xdr:col>
      <xdr:colOff>1238250</xdr:colOff>
      <xdr:row>33</xdr:row>
      <xdr:rowOff>311894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5479</xdr:colOff>
      <xdr:row>15</xdr:row>
      <xdr:rowOff>22865</xdr:rowOff>
    </xdr:from>
    <xdr:to>
      <xdr:col>11</xdr:col>
      <xdr:colOff>5859</xdr:colOff>
      <xdr:row>24</xdr:row>
      <xdr:rowOff>10581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10584</xdr:colOff>
      <xdr:row>24</xdr:row>
      <xdr:rowOff>254001</xdr:rowOff>
    </xdr:from>
    <xdr:to>
      <xdr:col>10</xdr:col>
      <xdr:colOff>1931459</xdr:colOff>
      <xdr:row>34</xdr:row>
      <xdr:rowOff>14111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AC9BB4-E849-6A45-8E4D-DC6319AE9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0.13063</cdr:x>
      <cdr:y>0.01078</cdr:y>
    </cdr:from>
    <cdr:to>
      <cdr:x>0.95641</cdr:x>
      <cdr:y>0.1061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538" y="31842"/>
          <a:ext cx="5212245" cy="281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0.21164</cdr:x>
      <cdr:y>0.01021</cdr:y>
    </cdr:from>
    <cdr:to>
      <cdr:x>0.87701</cdr:x>
      <cdr:y>0.10811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025" y="30252"/>
          <a:ext cx="4190769" cy="29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15</xdr:row>
      <xdr:rowOff>21693</xdr:rowOff>
    </xdr:from>
    <xdr:to>
      <xdr:col>3</xdr:col>
      <xdr:colOff>1301749</xdr:colOff>
      <xdr:row>24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21167</xdr:colOff>
      <xdr:row>34</xdr:row>
      <xdr:rowOff>377470</xdr:rowOff>
    </xdr:from>
    <xdr:to>
      <xdr:col>3</xdr:col>
      <xdr:colOff>1301750</xdr:colOff>
      <xdr:row>50</xdr:row>
      <xdr:rowOff>148165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3529</xdr:colOff>
      <xdr:row>24</xdr:row>
      <xdr:rowOff>183445</xdr:rowOff>
    </xdr:from>
    <xdr:to>
      <xdr:col>3</xdr:col>
      <xdr:colOff>1322916</xdr:colOff>
      <xdr:row>34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232832</xdr:colOff>
      <xdr:row>15</xdr:row>
      <xdr:rowOff>21165</xdr:rowOff>
    </xdr:from>
    <xdr:to>
      <xdr:col>11</xdr:col>
      <xdr:colOff>10583</xdr:colOff>
      <xdr:row>24</xdr:row>
      <xdr:rowOff>10582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10584</xdr:colOff>
      <xdr:row>24</xdr:row>
      <xdr:rowOff>243417</xdr:rowOff>
    </xdr:from>
    <xdr:to>
      <xdr:col>11</xdr:col>
      <xdr:colOff>21873</xdr:colOff>
      <xdr:row>33</xdr:row>
      <xdr:rowOff>310445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D3387F-8504-894A-ACCD-85E3CBE9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471411</xdr:colOff>
      <xdr:row>16</xdr:row>
      <xdr:rowOff>15256</xdr:rowOff>
    </xdr:from>
    <xdr:to>
      <xdr:col>3</xdr:col>
      <xdr:colOff>1153584</xdr:colOff>
      <xdr:row>25</xdr:row>
      <xdr:rowOff>17638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11304</xdr:colOff>
      <xdr:row>36</xdr:row>
      <xdr:rowOff>8314</xdr:rowOff>
    </xdr:from>
    <xdr:to>
      <xdr:col>10</xdr:col>
      <xdr:colOff>1947332</xdr:colOff>
      <xdr:row>51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467053</xdr:colOff>
      <xdr:row>25</xdr:row>
      <xdr:rowOff>313212</xdr:rowOff>
    </xdr:from>
    <xdr:to>
      <xdr:col>4</xdr:col>
      <xdr:colOff>0</xdr:colOff>
      <xdr:row>35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12550</xdr:colOff>
      <xdr:row>16</xdr:row>
      <xdr:rowOff>3815</xdr:rowOff>
    </xdr:from>
    <xdr:to>
      <xdr:col>11</xdr:col>
      <xdr:colOff>0</xdr:colOff>
      <xdr:row>25</xdr:row>
      <xdr:rowOff>10584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7054</xdr:colOff>
      <xdr:row>26</xdr:row>
      <xdr:rowOff>0</xdr:rowOff>
    </xdr:from>
    <xdr:to>
      <xdr:col>10</xdr:col>
      <xdr:colOff>1947333</xdr:colOff>
      <xdr:row>35</xdr:row>
      <xdr:rowOff>21167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99C7E1-1A0A-D14B-A7EB-D795AF669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0.10666</cdr:x>
      <cdr:y>0.03378</cdr:y>
    </cdr:from>
    <cdr:to>
      <cdr:x>1</cdr:x>
      <cdr:y>0.15369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0532" y="96574"/>
          <a:ext cx="5365058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Weekly Average Production Volume Trend</a:t>
          </a:r>
          <a:endParaRPr lang="en-US" sz="1600">
            <a:effectLst/>
          </a:endParaRP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0.19172</cdr:x>
      <cdr:y>0.01686</cdr:y>
    </cdr:from>
    <cdr:to>
      <cdr:x>0.86792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6830" y="47488"/>
          <a:ext cx="4009694" cy="35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Volume Distribution Trend</a:t>
          </a:r>
          <a:endParaRPr lang="en-US" sz="1600">
            <a:effectLst/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0.20072</cdr:x>
      <cdr:y>0.00638</cdr:y>
    </cdr:from>
    <cdr:to>
      <cdr:x>0.90964</cdr:x>
      <cdr:y>0.10724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6061" y="18268"/>
          <a:ext cx="4365610" cy="288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0.22693</cdr:x>
      <cdr:y>0.01378</cdr:y>
    </cdr:from>
    <cdr:to>
      <cdr:x>0.8923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49838" y="41224"/>
          <a:ext cx="4250919" cy="292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Accesses-NetInsight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Accesses-GA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15</xdr:row>
      <xdr:rowOff>21693</xdr:rowOff>
    </xdr:from>
    <xdr:to>
      <xdr:col>3</xdr:col>
      <xdr:colOff>1301749</xdr:colOff>
      <xdr:row>24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10586</xdr:colOff>
      <xdr:row>34</xdr:row>
      <xdr:rowOff>377471</xdr:rowOff>
    </xdr:from>
    <xdr:to>
      <xdr:col>3</xdr:col>
      <xdr:colOff>1238251</xdr:colOff>
      <xdr:row>50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472723</xdr:colOff>
      <xdr:row>24</xdr:row>
      <xdr:rowOff>183444</xdr:rowOff>
    </xdr:from>
    <xdr:to>
      <xdr:col>3</xdr:col>
      <xdr:colOff>1326444</xdr:colOff>
      <xdr:row>33</xdr:row>
      <xdr:rowOff>296333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15</xdr:row>
      <xdr:rowOff>21165</xdr:rowOff>
    </xdr:from>
    <xdr:to>
      <xdr:col>11</xdr:col>
      <xdr:colOff>21167</xdr:colOff>
      <xdr:row>24</xdr:row>
      <xdr:rowOff>10582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7056</xdr:colOff>
      <xdr:row>24</xdr:row>
      <xdr:rowOff>169334</xdr:rowOff>
    </xdr:from>
    <xdr:to>
      <xdr:col>10</xdr:col>
      <xdr:colOff>1936751</xdr:colOff>
      <xdr:row>33</xdr:row>
      <xdr:rowOff>310445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FC26774-9632-C44B-B417-ED28D047A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7"/>
  <sheetViews>
    <sheetView zoomScale="110" zoomScaleNormal="110" workbookViewId="0">
      <selection activeCell="A3" sqref="A3"/>
    </sheetView>
  </sheetViews>
  <sheetFormatPr baseColWidth="10" defaultColWidth="11.5" defaultRowHeight="13" x14ac:dyDescent="0.15"/>
  <cols>
    <col min="1" max="1" width="122.6640625" customWidth="1"/>
    <col min="2" max="2" width="8.1640625" customWidth="1"/>
    <col min="3" max="3" width="0.1640625" hidden="1" customWidth="1"/>
  </cols>
  <sheetData>
    <row r="1" spans="1:1" ht="272" x14ac:dyDescent="0.15">
      <c r="A1" s="60" t="s">
        <v>160</v>
      </c>
    </row>
    <row r="2" spans="1:1" x14ac:dyDescent="0.15">
      <c r="A2" s="57"/>
    </row>
    <row r="3" spans="1:1" s="58" customFormat="1" ht="168.75" customHeight="1" x14ac:dyDescent="0.15">
      <c r="A3" s="62" t="s">
        <v>173</v>
      </c>
    </row>
    <row r="4" spans="1:1" ht="27" customHeight="1" x14ac:dyDescent="0.15">
      <c r="A4" s="61" t="s">
        <v>75</v>
      </c>
    </row>
    <row r="7" spans="1:1" x14ac:dyDescent="0.15">
      <c r="A7" s="59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K37"/>
  <sheetViews>
    <sheetView topLeftCell="A13" zoomScale="90" zoomScaleNormal="90" zoomScalePageLayoutView="90" workbookViewId="0">
      <selection activeCell="M29" sqref="M29"/>
    </sheetView>
  </sheetViews>
  <sheetFormatPr baseColWidth="10" defaultColWidth="11.5" defaultRowHeight="13" x14ac:dyDescent="0.15"/>
  <cols>
    <col min="1" max="1" width="7.1640625" customWidth="1"/>
    <col min="2" max="2" width="54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CONCATENATE("NSIDC Summary for ", Summary_data!X1)</f>
        <v>NSIDC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CONCATENATE(data!$I$2, " Distribution and User Trends ", Summary_data!W1)</f>
        <v>NSIDC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Summary_data!$C$11</f>
        <v>NSIDC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Summary_data!$D$11</f>
        <v>867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3" customHeight="1" thickBot="1" x14ac:dyDescent="0.2">
      <c r="B5" s="295" t="s">
        <v>184</v>
      </c>
      <c r="C5" s="64">
        <f>Summary_data!AA16</f>
        <v>3524431</v>
      </c>
      <c r="D5" s="67">
        <f>Summary_data!H$11</f>
        <v>676435</v>
      </c>
      <c r="F5" s="319" t="s">
        <v>70</v>
      </c>
      <c r="G5" s="341">
        <f>data!$I$15</f>
        <v>68.86139</v>
      </c>
      <c r="H5" s="305"/>
      <c r="I5" s="300">
        <f>(data!$I$15-data!$I$17)/data!$I$17</f>
        <v>-0.56175927253253133</v>
      </c>
      <c r="J5" s="307">
        <f>data!$I$16</f>
        <v>5.7384491666666664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Summary_data!I$11</f>
        <v>537378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Summary_data!J$11</f>
        <v>986483</v>
      </c>
      <c r="F7" s="317" t="s">
        <v>64</v>
      </c>
      <c r="G7" s="339">
        <f>data!$I$67</f>
        <v>741.94191730615671</v>
      </c>
      <c r="H7" s="306"/>
      <c r="I7" s="300">
        <f>(data!$I$67-data!$I$69)/data!$I$69</f>
        <v>0.36788601287290079</v>
      </c>
      <c r="J7" s="308">
        <f>data!$I$68</f>
        <v>61.828493108846395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Summary_data!K$11</f>
        <v>927701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CONCATENATE(FIXED(1024*Summary_data!$N$11,1), " GB/day")</f>
        <v>1,265.2 GB/day</v>
      </c>
      <c r="F9" s="317" t="s">
        <v>60</v>
      </c>
      <c r="G9" s="326">
        <f>data!$I$120</f>
        <v>16369</v>
      </c>
      <c r="H9" s="306"/>
      <c r="I9" s="300">
        <f>(data!$I$120-data!$I$121)/data!$I$121</f>
        <v>-3.4334257565925314E-2</v>
      </c>
      <c r="J9" s="330">
        <f>data!$I$119</f>
        <v>1997.5833333333333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CONCATENATE(FIXED(Summary_data!$O$11,1), " TB")</f>
        <v>1,058.0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CONCATENATE(FIXED(Summary_data!$R$11,1), " M")</f>
        <v>68.9 M</v>
      </c>
      <c r="E11" s="5"/>
      <c r="F11" s="317" t="s">
        <v>176</v>
      </c>
      <c r="G11" s="326">
        <f>data!$I$201</f>
        <v>668488</v>
      </c>
      <c r="H11" s="306"/>
      <c r="I11" s="301">
        <f>(data!$I$201-data!$I$202)/data!$I$202</f>
        <v>0.23364810225160967</v>
      </c>
      <c r="J11" s="330">
        <f>data!$I$200</f>
        <v>82206.916666666672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CONCATENATE(FIXED(1024*Summary_data!$T$11,1), " GB/day")</f>
        <v>2,081.5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data!$I$220</f>
        <v>529431</v>
      </c>
      <c r="H13" s="306"/>
      <c r="I13" s="301">
        <f>(data!$I$220-data!$I$221)/data!$I$221</f>
        <v>-2.2971918085033745E-2</v>
      </c>
      <c r="J13" s="330">
        <f>data!$I$219</f>
        <v>51372.916666666664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{81937DFB-C95E-F149-AAA2-3CAD0E58AF94}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{47A1CA8B-B5CF-E542-8745-9E68A5F14D75}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1937DFB-C95E-F149-AAA2-3CAD0E58AF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47A1CA8B-B5CF-E542-8745-9E68A5F14D75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900-00002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data!I206:I217</xm:f>
              <xm:sqref>K13</xm:sqref>
            </x14:sparkline>
          </x14:sparklines>
        </x14:sparklineGroup>
        <x14:sparklineGroup manualMax="0" manualMin="0" displayEmptyCellsAs="gap" high="1" xr2:uid="{00000000-0003-0000-0900-00002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data!I187:I198</xm:f>
              <xm:sqref>K11</xm:sqref>
            </x14:sparkline>
          </x14:sparklines>
        </x14:sparklineGroup>
        <x14:sparklineGroup manualMax="0" manualMin="0" displayEmptyCellsAs="gap" high="1" xr2:uid="{00000000-0003-0000-0900-00002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manualMax="0" manualMin="0" displayEmptyCellsAs="gap" high="1" xr2:uid="{00000000-0003-0000-0900-00002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manualMax="0" manualMin="0" displayEmptyCellsAs="gap" high="1" xr2:uid="{00000000-0003-0000-0900-00002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K37"/>
  <sheetViews>
    <sheetView topLeftCell="A28" zoomScale="90" zoomScaleNormal="90" zoomScalePageLayoutView="90" workbookViewId="0">
      <selection activeCell="M19" sqref="M19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CONCATENATE("ORNL Summary for ", Summary_data!X1)</f>
        <v>ORNL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CONCATENATE(data!$K$2, " Distribution and User Trends ", Summary_data!W1)</f>
        <v>ORNL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Summary_data!$C$13</f>
        <v>ORNL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Summary_data!$D$13</f>
        <v>2472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3" customHeight="1" thickBot="1" x14ac:dyDescent="0.2">
      <c r="B5" s="295" t="s">
        <v>184</v>
      </c>
      <c r="C5" s="64">
        <f>Summary_data!AA16</f>
        <v>3524431</v>
      </c>
      <c r="D5" s="67">
        <f>Summary_data!H$13</f>
        <v>50038</v>
      </c>
      <c r="F5" s="319" t="s">
        <v>70</v>
      </c>
      <c r="G5" s="341">
        <f>data!$K$15</f>
        <v>52.227104000000004</v>
      </c>
      <c r="H5" s="305"/>
      <c r="I5" s="300">
        <f>(data!$K$15-data!$K$17)/data!$K$17</f>
        <v>0.49642271245796432</v>
      </c>
      <c r="J5" s="307">
        <f>data!$K$16</f>
        <v>4.3522586666666667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Summary_data!I$13</f>
        <v>58299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Summary_data!J$13</f>
        <v>50038</v>
      </c>
      <c r="F7" s="317" t="s">
        <v>64</v>
      </c>
      <c r="G7" s="339">
        <f>data!$K$67</f>
        <v>334.68256025501478</v>
      </c>
      <c r="H7" s="306"/>
      <c r="I7" s="300">
        <f>(data!$K$67-data!$K$69)/data!$K$69</f>
        <v>-9.5441192964634491E-2</v>
      </c>
      <c r="J7" s="308">
        <f>data!$K$68</f>
        <v>27.890213354584564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Summary_data!K$13</f>
        <v>61588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CONCATENATE(FIXED(1024*Summary_data!$N$13,1), " GB/day")</f>
        <v>387.7 GB/day</v>
      </c>
      <c r="F9" s="317" t="s">
        <v>60</v>
      </c>
      <c r="G9" s="326">
        <f>data!$K$120</f>
        <v>20189</v>
      </c>
      <c r="H9" s="306"/>
      <c r="I9" s="300">
        <f>(data!$K$120-data!$K$121)/data!$K$121</f>
        <v>0.45716347888848791</v>
      </c>
      <c r="J9" s="330">
        <f>data!$K$119</f>
        <v>2357.25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CONCATENATE(FIXED(Summary_data!$O$13,1), " TB")</f>
        <v>260.5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CONCATENATE(FIXED(Summary_data!$R$13,1), " M")</f>
        <v>52.2 M</v>
      </c>
      <c r="E11" s="5"/>
      <c r="F11" s="317" t="s">
        <v>176</v>
      </c>
      <c r="G11" s="326">
        <f>data!$K$201</f>
        <v>37411</v>
      </c>
      <c r="H11" s="306"/>
      <c r="I11" s="301">
        <f>(data!$K$201-data!$K$202)/data!$K$202</f>
        <v>8.7813672181675434E-2</v>
      </c>
      <c r="J11" s="330">
        <f>data!$K$200</f>
        <v>4169.833333333333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CONCATENATE(FIXED(1024*Summary_data!$T$13,1), " GB/day")</f>
        <v>938.9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data!$K$220</f>
        <v>45672</v>
      </c>
      <c r="H13" s="306"/>
      <c r="I13" s="301">
        <f>(data!$K$220-data!$K$221)/data!$K$221</f>
        <v>0.32802186618592072</v>
      </c>
      <c r="J13" s="330">
        <f>data!$K$219</f>
        <v>4350.583333333333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{3E251777-48CB-6041-B959-26447995F755}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{65F80109-D683-194F-B4A4-DEAAF2DB0194}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E251777-48CB-6041-B959-26447995F75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65F80109-D683-194F-B4A4-DEAAF2DB0194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A00-00002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data!K206:K217</xm:f>
              <xm:sqref>K13</xm:sqref>
            </x14:sparkline>
          </x14:sparklines>
        </x14:sparklineGroup>
        <x14:sparklineGroup manualMax="0" manualMin="0" displayEmptyCellsAs="gap" high="1" xr2:uid="{00000000-0003-0000-0A00-00002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  <x14:sparklineGroup manualMax="0" manualMin="0" displayEmptyCellsAs="gap" high="1" xr2:uid="{00000000-0003-0000-0A00-00002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manualMax="0" manualMin="0" displayEmptyCellsAs="gap" high="1" xr2:uid="{00000000-0003-0000-0A00-00002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  <x14:sparklineGroup manualMax="0" manualMin="0" displayEmptyCellsAs="gap" high="1" xr2:uid="{00000000-0003-0000-0A00-00002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data!K187:K198</xm:f>
              <xm:sqref>K11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K35"/>
  <sheetViews>
    <sheetView topLeftCell="A13" zoomScale="90" zoomScaleNormal="90" zoomScalePageLayoutView="90" workbookViewId="0">
      <selection activeCell="I40" sqref="I40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CONCATENATE("OB.DAAC Summary for ", Summary_data!X1)</f>
        <v>OB.DAAC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CONCATENATE(data!$J$2, " Distribution and User Trends ", Summary_data!W1)</f>
        <v>OB.DAAC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Summary_data!$C$12</f>
        <v>OB.DAAC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Summary_data!$D$12</f>
        <v>254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2" customHeight="1" thickBot="1" x14ac:dyDescent="0.2">
      <c r="B5" s="295" t="s">
        <v>184</v>
      </c>
      <c r="C5" s="64">
        <f>Summary_data!AA16</f>
        <v>3524431</v>
      </c>
      <c r="D5" s="67">
        <f>Summary_data!H$12</f>
        <v>35520</v>
      </c>
      <c r="F5" s="319" t="s">
        <v>70</v>
      </c>
      <c r="G5" s="341">
        <f>data!$J$15</f>
        <v>38.363185000000001</v>
      </c>
      <c r="H5" s="305"/>
      <c r="I5" s="300">
        <f>(data!$J$15-data!$J$17)/data!$J$17</f>
        <v>-0.30729914634055178</v>
      </c>
      <c r="J5" s="307">
        <f>data!$J$16</f>
        <v>3.1969320833333335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Summary_data!I$12</f>
        <v>35520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 t="s">
        <v>71</v>
      </c>
      <c r="F7" s="317" t="s">
        <v>64</v>
      </c>
      <c r="G7" s="339">
        <f>data!$J$67</f>
        <v>1419.2565291333219</v>
      </c>
      <c r="H7" s="306"/>
      <c r="I7" s="300">
        <f>(data!$J$67-data!$J$69)/data!$J$69</f>
        <v>0.11119035047207845</v>
      </c>
      <c r="J7" s="308">
        <f>data!$J$68</f>
        <v>118.27137742777683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 t="s">
        <v>71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7" t="s">
        <v>71</v>
      </c>
      <c r="F9" s="317" t="s">
        <v>60</v>
      </c>
      <c r="G9" s="326">
        <f>data!$J$120</f>
        <v>44317</v>
      </c>
      <c r="H9" s="306"/>
      <c r="I9" s="300">
        <f>(data!$J$120-data!$J$121)/data!$J$121</f>
        <v>-7.5515781129399009E-2</v>
      </c>
      <c r="J9" s="330">
        <f>data!$J$119</f>
        <v>5645.083333333333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7" t="s">
        <v>71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CONCATENATE(FIXED(Summary_data!$R$12,1), " M")</f>
        <v>38.4 M</v>
      </c>
      <c r="E11" s="5"/>
      <c r="F11" s="317" t="s">
        <v>69</v>
      </c>
      <c r="G11" s="348"/>
      <c r="H11" s="350"/>
      <c r="I11" s="301"/>
      <c r="J11" s="352"/>
      <c r="K11" s="346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CONCATENATE(FIXED(1024*Summary_data!$T$12,1), " GB/day")</f>
        <v>3,981.7 GB/day</v>
      </c>
      <c r="F12" s="325"/>
      <c r="G12" s="349"/>
      <c r="H12" s="351"/>
      <c r="I12" s="345"/>
      <c r="J12" s="353"/>
      <c r="K12" s="3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</sheetData>
  <dataConsolidate/>
  <mergeCells count="28"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11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B00-00002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  <x14:sparklineGroup manualMax="0" manualMin="0" displayEmptyCellsAs="gap" high="1" xr2:uid="{00000000-0003-0000-0B00-00002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manualMax="0" manualMin="0" displayEmptyCellsAs="gap" high="1" xr2:uid="{00000000-0003-0000-0B00-00002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K37"/>
  <sheetViews>
    <sheetView zoomScale="90" zoomScaleNormal="90" zoomScalePageLayoutView="90" workbookViewId="0">
      <selection activeCell="I43" sqref="I43"/>
    </sheetView>
  </sheetViews>
  <sheetFormatPr baseColWidth="10" defaultColWidth="11.5" defaultRowHeight="13" x14ac:dyDescent="0.15"/>
  <cols>
    <col min="1" max="1" width="7.1640625" customWidth="1"/>
    <col min="2" max="2" width="55.6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CONCATENATE("PO.DAAC Summary for ", Summary_data!X1)</f>
        <v>PO.DAAC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CONCATENATE(data!$L$2, " Distribution and User Trends ", Summary_data!W1)</f>
        <v>PO.DAAC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Summary_data!$C$14</f>
        <v>PO.DAAC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Summary_data!$D$14</f>
        <v>1281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2" customHeight="1" thickBot="1" x14ac:dyDescent="0.2">
      <c r="B5" s="295" t="s">
        <v>184</v>
      </c>
      <c r="C5" s="64">
        <f>Summary_data!AA16</f>
        <v>3524431</v>
      </c>
      <c r="D5" s="67">
        <f>Summary_data!H$14</f>
        <v>74420</v>
      </c>
      <c r="F5" s="319" t="s">
        <v>70</v>
      </c>
      <c r="G5" s="341">
        <f>data!$L$15</f>
        <v>68.885911000000007</v>
      </c>
      <c r="H5" s="305"/>
      <c r="I5" s="300">
        <f>(data!$L$15-data!$L$17)/data!$L$17</f>
        <v>0.42196390672527317</v>
      </c>
      <c r="J5" s="307">
        <f>data!$L$16</f>
        <v>5.7404925833333342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Summary_data!I$14</f>
        <v>80386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Summary_data!J$14</f>
        <v>47740</v>
      </c>
      <c r="F7" s="317" t="s">
        <v>64</v>
      </c>
      <c r="G7" s="339">
        <f>data!$L$67</f>
        <v>608.16590161141198</v>
      </c>
      <c r="H7" s="306"/>
      <c r="I7" s="300">
        <f>(data!$L$67-data!$L$69)/data!$L$69</f>
        <v>5.7259162334900485E-2</v>
      </c>
      <c r="J7" s="308">
        <f>data!$L$68</f>
        <v>50.680491800950996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Summary_data!K$14</f>
        <v>54854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CONCATENATE(FIXED(1024*Summary_data!$N$14,1), " GB/day")</f>
        <v>401.1 GB/day</v>
      </c>
      <c r="F9" s="317" t="s">
        <v>60</v>
      </c>
      <c r="G9" s="326">
        <f>data!$L$120</f>
        <v>50029</v>
      </c>
      <c r="H9" s="306"/>
      <c r="I9" s="300">
        <f>(data!$L$120-data!$L$121)/data!$L$121</f>
        <v>-0.19270303851801648</v>
      </c>
      <c r="J9" s="330">
        <f>data!$L$119</f>
        <v>5441.583333333333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CONCATENATE(FIXED(Summary_data!$O$14,1), " TB")</f>
        <v>456.6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CONCATENATE(FIXED(Summary_data!$R$14,1), " M")</f>
        <v>68.9 M</v>
      </c>
      <c r="E11" s="5"/>
      <c r="F11" s="317" t="s">
        <v>176</v>
      </c>
      <c r="G11" s="326">
        <f>data!$L$201</f>
        <v>32997</v>
      </c>
      <c r="H11" s="306"/>
      <c r="I11" s="301">
        <f>(data!$L$201-data!$L$202)/data!$L$202</f>
        <v>0.1887383817277902</v>
      </c>
      <c r="J11" s="330">
        <f>data!$L$200</f>
        <v>3978.3333333333335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CONCATENATE(FIXED(1024*Summary_data!$T$14,1), " GB/day")</f>
        <v>1,706.2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data!$L$220</f>
        <v>38963</v>
      </c>
      <c r="H13" s="306"/>
      <c r="I13" s="301">
        <f>(data!$L$220-data!$L$221)/data!$L$221</f>
        <v>0.40366741119677207</v>
      </c>
      <c r="J13" s="330">
        <f>data!$L$219</f>
        <v>3775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{F46DD5FE-004D-4B40-A657-E48D0BB37332}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{6E50A50C-B1BD-8D4B-86FB-B7C37FFB3A74}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6DD5FE-004D-4B40-A657-E48D0BB37332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6E50A50C-B1BD-8D4B-86FB-B7C37FFB3A74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C00-00003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data!L206:L217</xm:f>
              <xm:sqref>K13</xm:sqref>
            </x14:sparkline>
          </x14:sparklines>
        </x14:sparklineGroup>
        <x14:sparklineGroup manualMax="0" manualMin="0" displayEmptyCellsAs="gap" high="1" xr2:uid="{00000000-0003-0000-0C00-00003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data!L187:L198</xm:f>
              <xm:sqref>K11</xm:sqref>
            </x14:sparkline>
          </x14:sparklines>
        </x14:sparklineGroup>
        <x14:sparklineGroup manualMax="0" manualMin="0" displayEmptyCellsAs="gap" high="1" xr2:uid="{00000000-0003-0000-0C00-00003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manualMax="0" manualMin="0" displayEmptyCellsAs="gap" high="1" xr2:uid="{00000000-0003-0000-0C00-00003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manualMax="0" manualMin="0" displayEmptyCellsAs="gap" high="1" xr2:uid="{00000000-0003-0000-0C00-00003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K37"/>
  <sheetViews>
    <sheetView topLeftCell="A28" zoomScale="90" zoomScaleNormal="90" zoomScalePageLayoutView="90" workbookViewId="0">
      <selection activeCell="M10" sqref="M10"/>
    </sheetView>
  </sheetViews>
  <sheetFormatPr baseColWidth="10" defaultColWidth="11.5" defaultRowHeight="13" x14ac:dyDescent="0.15"/>
  <cols>
    <col min="1" max="1" width="7.1640625" customWidth="1"/>
    <col min="2" max="2" width="5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CONCATENATE("SEDAC Summary for ", Summary_data!X1)</f>
        <v>SEDAC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CONCATENATE(data!$M$2, " Distribution and User Trends ", Summary_data!W1)</f>
        <v>SEDAC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Summary_data!$C$15</f>
        <v>SEDAC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Summary_data!$D$15</f>
        <v>414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3" customHeight="1" thickBot="1" x14ac:dyDescent="0.2">
      <c r="B5" s="295" t="s">
        <v>184</v>
      </c>
      <c r="C5" s="64">
        <f>Summary_data!AA16</f>
        <v>3524431</v>
      </c>
      <c r="D5" s="67">
        <f>Summary_data!H$15</f>
        <v>186819</v>
      </c>
      <c r="F5" s="319" t="s">
        <v>70</v>
      </c>
      <c r="G5" s="341">
        <f>data!$M$15</f>
        <v>1.3879220000000001</v>
      </c>
      <c r="H5" s="305"/>
      <c r="I5" s="300">
        <f>(data!$M$15-data!$M$17)/data!$M$17</f>
        <v>0.54672072321058429</v>
      </c>
      <c r="J5" s="307">
        <f>data!$M$16</f>
        <v>0.11566016666666668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Summary_data!I$15</f>
        <v>189700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Summary_data!J$15</f>
        <v>116957</v>
      </c>
      <c r="F7" s="317" t="s">
        <v>64</v>
      </c>
      <c r="G7" s="339">
        <f>data!$M$67</f>
        <v>13.233766058233382</v>
      </c>
      <c r="H7" s="306"/>
      <c r="I7" s="300">
        <f>(data!$M$67-data!$M$69)/data!$M$69</f>
        <v>0.54950610138403777</v>
      </c>
      <c r="J7" s="308">
        <f>data!$M$68</f>
        <v>1.1028138381861152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Summary_data!K$15</f>
        <v>116716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CONCATENATE(FIXED(1024*Summary_data!$N$15,2), " GB/day")</f>
        <v>2.15 GB/day</v>
      </c>
      <c r="F9" s="317" t="s">
        <v>60</v>
      </c>
      <c r="G9" s="326">
        <f>data!$M$120</f>
        <v>117594</v>
      </c>
      <c r="H9" s="306"/>
      <c r="I9" s="300">
        <f>(data!$M$120-data!$M$121)/data!$M$121</f>
        <v>0.21333498421345881</v>
      </c>
      <c r="J9" s="330">
        <f>data!$M$119</f>
        <v>12000.416666666666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CONCATENATE(FIXED(Summary_data!$O$15,1), " TB")</f>
        <v>7.1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CONCATENATE(FIXED(Summary_data!$R$15,1), " M")</f>
        <v>1.4 M</v>
      </c>
      <c r="E11" s="5"/>
      <c r="F11" s="317" t="s">
        <v>176</v>
      </c>
      <c r="G11" s="326">
        <f>data!$M$201</f>
        <v>89647</v>
      </c>
      <c r="H11" s="306"/>
      <c r="I11" s="301">
        <f>(data!$M$201-data!$M$202)/data!$M$202</f>
        <v>7.5716668466587464E-2</v>
      </c>
      <c r="J11" s="330">
        <f>data!$M$200</f>
        <v>9746.4166666666661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CONCATENATE(FIXED(1024*Summary_data!$T$15,1), " GB/day")</f>
        <v>37.1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data!$M$220</f>
        <v>92528</v>
      </c>
      <c r="H13" s="306"/>
      <c r="I13" s="301">
        <f>(data!$M$220-data!$M$221)/data!$M$221</f>
        <v>0.11028714736551591</v>
      </c>
      <c r="J13" s="330">
        <f>data!$M$219</f>
        <v>8258.0833333333339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{85523759-5E8A-AD41-978C-47A06965EAC7}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{513460A5-2268-874B-A210-B5E01CAA965E}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523759-5E8A-AD41-978C-47A06965EAC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513460A5-2268-874B-A210-B5E01CAA965E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D00-00003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data!M206:M217</xm:f>
              <xm:sqref>K13</xm:sqref>
            </x14:sparkline>
          </x14:sparklines>
        </x14:sparklineGroup>
        <x14:sparklineGroup manualMax="0" manualMin="0" displayEmptyCellsAs="gap" high="1" xr2:uid="{00000000-0003-0000-0D00-00003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  <x14:sparklineGroup manualMax="0" manualMin="0" displayEmptyCellsAs="gap" high="1" xr2:uid="{00000000-0003-0000-0D00-00003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manualMax="0" manualMin="0" displayEmptyCellsAs="gap" high="1" xr2:uid="{00000000-0003-0000-0D00-00003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  <x14:sparklineGroup manualMax="0" manualMin="0" displayEmptyCellsAs="gap" high="1" xr2:uid="{00000000-0003-0000-0D00-00003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data!M187:M198</xm:f>
              <xm:sqref>K11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K37"/>
  <sheetViews>
    <sheetView topLeftCell="A22" zoomScale="90" zoomScaleNormal="90" zoomScalePageLayoutView="90" workbookViewId="0">
      <selection activeCell="M41" sqref="M41:M42"/>
    </sheetView>
  </sheetViews>
  <sheetFormatPr baseColWidth="10" defaultColWidth="11.5" defaultRowHeight="13" x14ac:dyDescent="0.15"/>
  <cols>
    <col min="1" max="1" width="7.1640625" customWidth="1"/>
    <col min="2" max="2" width="56.6640625" customWidth="1"/>
    <col min="3" max="3" width="18.1640625" customWidth="1"/>
    <col min="4" max="4" width="17.5" customWidth="1"/>
    <col min="5" max="5" width="3.5" customWidth="1"/>
    <col min="6" max="6" width="16" customWidth="1"/>
    <col min="7" max="7" width="13" customWidth="1"/>
    <col min="8" max="8" width="1.6640625" customWidth="1"/>
    <col min="9" max="9" width="14" customWidth="1"/>
    <col min="10" max="10" width="15" customWidth="1"/>
    <col min="11" max="11" width="29.5" customWidth="1"/>
    <col min="12" max="12" width="19.83203125" customWidth="1"/>
    <col min="13" max="13" width="22.1640625" customWidth="1"/>
    <col min="14" max="14" width="42.83203125" customWidth="1"/>
    <col min="15" max="15" width="29.83203125" customWidth="1"/>
  </cols>
  <sheetData>
    <row r="1" spans="1:11" ht="52" customHeight="1" thickBot="1" x14ac:dyDescent="0.2">
      <c r="A1" s="7"/>
      <c r="B1" s="322" t="str">
        <f>CONCATENATE("LANCE Summary for ", Summary_data!X1)</f>
        <v>LANCE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CONCATENATE(L_data!B2, " Distribution and User Trends ", Summary_data!W1)</f>
        <v>LANCE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L_Summary_data!B4</f>
        <v>LANCE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7" t="s">
        <v>195</v>
      </c>
      <c r="C4" s="64">
        <f>Summary_data!AA15</f>
        <v>11929</v>
      </c>
      <c r="D4" s="109">
        <f>L_Summary_data!C4</f>
        <v>559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4" customHeight="1" thickBot="1" x14ac:dyDescent="0.2">
      <c r="B5" s="293" t="s">
        <v>196</v>
      </c>
      <c r="C5" s="64" t="str">
        <f>Summary_data!AA4</f>
        <v>3.52 M</v>
      </c>
      <c r="D5" s="110">
        <f>L_Summary_data!G4</f>
        <v>183981</v>
      </c>
      <c r="F5" s="319" t="s">
        <v>70</v>
      </c>
      <c r="G5" s="320">
        <f>L_data!B16</f>
        <v>90.093598999999983</v>
      </c>
      <c r="H5" s="305"/>
      <c r="I5" s="300">
        <f>(L_data!B$16-L_data!B$18)/L_data!B$18</f>
        <v>-0.32955357500920868</v>
      </c>
      <c r="J5" s="307">
        <f>L_data!B$17</f>
        <v>7.5077999166666656</v>
      </c>
      <c r="K5" s="356"/>
    </row>
    <row r="6" spans="1:11" ht="18" customHeight="1" thickBot="1" x14ac:dyDescent="0.2">
      <c r="B6" s="293" t="s">
        <v>197</v>
      </c>
      <c r="C6" s="64" t="str">
        <f>Summary_data!AA6</f>
        <v>2.72 M</v>
      </c>
      <c r="D6" s="110">
        <f>L_Summary_data!H4</f>
        <v>275884</v>
      </c>
      <c r="F6" s="318"/>
      <c r="G6" s="321"/>
      <c r="H6" s="306"/>
      <c r="I6" s="301"/>
      <c r="J6" s="308"/>
      <c r="K6" s="354"/>
    </row>
    <row r="7" spans="1:11" ht="18" customHeight="1" thickBot="1" x14ac:dyDescent="0.2">
      <c r="B7" s="293" t="s">
        <v>193</v>
      </c>
      <c r="C7" s="64"/>
      <c r="D7" s="110">
        <f>L_Summary_data!F4</f>
        <v>3360</v>
      </c>
      <c r="F7" s="317" t="s">
        <v>64</v>
      </c>
      <c r="G7" s="315">
        <f>L_data!B69</f>
        <v>842.38937777741182</v>
      </c>
      <c r="H7" s="306"/>
      <c r="I7" s="300">
        <f>(L_data!B$69-L_data!B$71)/L_data!B$71</f>
        <v>-3.6236124694534938E-2</v>
      </c>
      <c r="J7" s="308">
        <f>L_data!B$70</f>
        <v>70.199114814784323</v>
      </c>
      <c r="K7" s="354"/>
    </row>
    <row r="8" spans="1:11" ht="18" customHeight="1" thickBot="1" x14ac:dyDescent="0.2">
      <c r="B8" s="293" t="s">
        <v>194</v>
      </c>
      <c r="C8" s="64"/>
      <c r="D8" s="110">
        <v>371685</v>
      </c>
      <c r="F8" s="318"/>
      <c r="G8" s="316"/>
      <c r="H8" s="306"/>
      <c r="I8" s="301"/>
      <c r="J8" s="308"/>
      <c r="K8" s="354"/>
    </row>
    <row r="9" spans="1:11" ht="18" customHeight="1" thickBot="1" x14ac:dyDescent="0.2">
      <c r="B9" s="293" t="s">
        <v>192</v>
      </c>
      <c r="C9" s="64" t="str">
        <f>Summary_data!AA5</f>
        <v>3.39 M</v>
      </c>
      <c r="D9" s="110" t="str">
        <f>CONCATENATE(FIXED(L_Summary_data!I$4/1000000,2), " M")</f>
        <v>0.23 M</v>
      </c>
      <c r="F9" s="317" t="s">
        <v>96</v>
      </c>
      <c r="G9" s="326">
        <f>L_data!B$123</f>
        <v>3360</v>
      </c>
      <c r="H9" s="306"/>
      <c r="I9" s="300">
        <f>(L_data!B$123-L_data!B$124)/L_data!B$124</f>
        <v>0.43405889884763127</v>
      </c>
      <c r="J9" s="330">
        <f>L_data!B$122</f>
        <v>378.58333333333331</v>
      </c>
      <c r="K9" s="354"/>
    </row>
    <row r="10" spans="1:11" ht="21" customHeight="1" thickBot="1" x14ac:dyDescent="0.2">
      <c r="B10" s="293" t="s">
        <v>187</v>
      </c>
      <c r="C10" s="64" t="str">
        <f>Summary_data!AA7</f>
        <v>2.33 M</v>
      </c>
      <c r="D10" s="110" t="str">
        <f>CONCATENATE(FIXED(L_Summary_data!J$4/1000000,2), " M")</f>
        <v>0.27 M</v>
      </c>
      <c r="F10" s="318"/>
      <c r="G10" s="332"/>
      <c r="H10" s="306"/>
      <c r="I10" s="301"/>
      <c r="J10" s="330"/>
      <c r="K10" s="354"/>
    </row>
    <row r="11" spans="1:11" ht="18" customHeight="1" thickBot="1" x14ac:dyDescent="0.2">
      <c r="B11" s="293" t="s">
        <v>95</v>
      </c>
      <c r="C11" s="110" t="str">
        <f>Summary_data!AA8</f>
        <v>20.0 TB/day</v>
      </c>
      <c r="D11" s="111" t="str">
        <f>CONCATENATE(FIXED(L_Summary_data!$M$4,1), " TB/day")</f>
        <v>5.1 TB/day</v>
      </c>
      <c r="E11" s="5"/>
      <c r="F11" s="317" t="s">
        <v>176</v>
      </c>
      <c r="G11" s="326">
        <f>L_data!B$198</f>
        <v>187227</v>
      </c>
      <c r="H11" s="306"/>
      <c r="I11" s="301">
        <f>(L_data!B$198-L_data!B$199)/L_data!B$199</f>
        <v>-0.10763547971974644</v>
      </c>
      <c r="J11" s="330">
        <f>L_data!B$197</f>
        <v>15602.25</v>
      </c>
      <c r="K11" s="354"/>
    </row>
    <row r="12" spans="1:11" ht="18" customHeight="1" thickBot="1" x14ac:dyDescent="0.2">
      <c r="B12" s="293" t="s">
        <v>2</v>
      </c>
      <c r="C12" s="64" t="str">
        <f>Summary_data!AA9</f>
        <v>33.6 PB</v>
      </c>
      <c r="D12" s="112" t="str">
        <f>CONCATENATE(FIXED(L_Summary_data!$N$4,1), " PB")</f>
        <v>1.8 PB</v>
      </c>
      <c r="F12" s="325"/>
      <c r="G12" s="327"/>
      <c r="H12" s="328"/>
      <c r="I12" s="329"/>
      <c r="J12" s="331"/>
      <c r="K12" s="355"/>
    </row>
    <row r="13" spans="1:11" ht="21.75" customHeight="1" thickBot="1" x14ac:dyDescent="0.2">
      <c r="B13" s="298" t="s">
        <v>3</v>
      </c>
      <c r="C13" s="64" t="str">
        <f>Summary_data!AA10</f>
        <v>1,911.7 M</v>
      </c>
      <c r="D13" s="110" t="str">
        <f>CONCATENATE(FIXED(L_Summary_data!$Q$4,1), " M")</f>
        <v>90.1 M</v>
      </c>
      <c r="F13" s="317" t="s">
        <v>177</v>
      </c>
      <c r="G13" s="326">
        <f>L_data!B$265</f>
        <v>234658</v>
      </c>
      <c r="H13" s="306"/>
      <c r="I13" s="301">
        <f>(L_data!B$265-L_data!B$266)/L_data!B$266</f>
        <v>0.11843096134597969</v>
      </c>
      <c r="J13" s="330">
        <f>L_data!B$264</f>
        <v>19554.833333333332</v>
      </c>
      <c r="K13" s="354"/>
    </row>
    <row r="14" spans="1:11" ht="21.75" customHeight="1" thickBot="1" x14ac:dyDescent="0.2">
      <c r="B14" s="299" t="s">
        <v>4</v>
      </c>
      <c r="C14" s="112" t="str">
        <f>Summary_data!AA11</f>
        <v>102.8 TB/day</v>
      </c>
      <c r="D14" s="112" t="str">
        <f>CONCATENATE(FIXED(L_Summary_data!$S$4,1), " TB/day")</f>
        <v>2.3 TB/day</v>
      </c>
      <c r="F14" s="325"/>
      <c r="G14" s="327"/>
      <c r="H14" s="328"/>
      <c r="I14" s="329"/>
      <c r="J14" s="331"/>
      <c r="K14" s="355"/>
    </row>
    <row r="15" spans="1:11" ht="18" customHeight="1" thickBot="1" x14ac:dyDescent="0.2">
      <c r="B15" s="113" t="s">
        <v>97</v>
      </c>
      <c r="C15" s="114"/>
    </row>
    <row r="16" spans="1:11" ht="18" customHeight="1" x14ac:dyDescent="0.15">
      <c r="B16" s="113" t="s">
        <v>98</v>
      </c>
      <c r="C16" s="114"/>
    </row>
    <row r="17" spans="2:2" ht="25" customHeight="1" x14ac:dyDescent="0.15">
      <c r="B17" s="113"/>
    </row>
    <row r="18" spans="2:2" ht="25" customHeight="1" x14ac:dyDescent="0.15"/>
    <row r="19" spans="2:2" ht="25" customHeight="1" x14ac:dyDescent="0.15"/>
    <row r="20" spans="2:2" ht="25" customHeight="1" x14ac:dyDescent="0.15"/>
    <row r="21" spans="2:2" ht="25" customHeight="1" x14ac:dyDescent="0.15"/>
    <row r="22" spans="2:2" ht="25" customHeight="1" x14ac:dyDescent="0.15"/>
    <row r="23" spans="2:2" ht="25" customHeight="1" x14ac:dyDescent="0.15"/>
    <row r="24" spans="2:2" ht="25" customHeight="1" x14ac:dyDescent="0.15"/>
    <row r="25" spans="2:2" ht="25" customHeight="1" x14ac:dyDescent="0.15"/>
    <row r="26" spans="2:2" ht="25" customHeight="1" x14ac:dyDescent="0.15"/>
    <row r="27" spans="2:2" ht="25" customHeight="1" x14ac:dyDescent="0.15"/>
    <row r="28" spans="2:2" ht="25" customHeight="1" x14ac:dyDescent="0.15"/>
    <row r="29" spans="2:2" ht="25" customHeight="1" x14ac:dyDescent="0.15"/>
    <row r="30" spans="2:2" ht="25" customHeight="1" x14ac:dyDescent="0.15"/>
    <row r="31" spans="2:2" ht="25" customHeight="1" x14ac:dyDescent="0.15"/>
    <row r="32" spans="2:2" ht="25" customHeight="1" x14ac:dyDescent="0.15"/>
    <row r="33" ht="25" customHeight="1" x14ac:dyDescent="0.15"/>
    <row r="34" ht="25" customHeight="1" x14ac:dyDescent="0.15"/>
    <row r="35" ht="25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K7:K8"/>
    <mergeCell ref="B1:K1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</mergeCells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{984C1B2A-4516-4CF4-9B7B-6A5830316BAB}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{724AEEE0-7B7B-41CA-8505-F4284529BC10}</x14:id>
        </ext>
      </extLst>
    </cfRule>
  </conditionalFormatting>
  <conditionalFormatting sqref="K11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{5C5BC03B-69EA-449E-9F18-3651440170E7}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{8C7AB1BA-A2E8-3943-BDEA-1CE575F76C01}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4C1B2A-4516-4CF4-9B7B-6A5830316BA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24AEEE0-7B7B-41CA-8505-F4284529BC1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5C5BC03B-69EA-449E-9F18-3651440170E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8C7AB1BA-A2E8-3943-BDEA-1CE575F76C01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E00-00003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L_data!B251:B262</xm:f>
              <xm:sqref>K13</xm:sqref>
            </x14:sparkline>
          </x14:sparklines>
        </x14:sparklineGroup>
        <x14:sparklineGroup manualMax="0" manualMin="0" displayEmptyCellsAs="gap" high="1" xr2:uid="{00000000-0003-0000-0E00-00003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L_data!B57:B68</xm:f>
              <xm:sqref>K7</xm:sqref>
            </x14:sparkline>
          </x14:sparklines>
        </x14:sparklineGroup>
        <x14:sparklineGroup manualMax="0" manualMin="0" displayEmptyCellsAs="gap" high="1" xr2:uid="{00000000-0003-0000-0E00-00003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L_data!B4:B15</xm:f>
              <xm:sqref>K5</xm:sqref>
            </x14:sparkline>
          </x14:sparklines>
        </x14:sparklineGroup>
        <x14:sparklineGroup manualMax="0" manualMin="0" displayEmptyCellsAs="gap" high="1" xr2:uid="{00000000-0003-0000-0E00-00003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L_data!B109:B120</xm:f>
              <xm:sqref>K9</xm:sqref>
            </x14:sparkline>
          </x14:sparklines>
        </x14:sparklineGroup>
        <x14:sparklineGroup manualMax="0" manualMin="0" displayEmptyCellsAs="gap" high="1" xr2:uid="{00000000-0003-0000-0E00-00003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L_data!B184:B195</xm:f>
              <xm:sqref>K11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AI297"/>
  <sheetViews>
    <sheetView topLeftCell="A85" zoomScale="80" zoomScaleNormal="80" workbookViewId="0">
      <selection activeCell="E176" sqref="E176"/>
    </sheetView>
  </sheetViews>
  <sheetFormatPr baseColWidth="10" defaultColWidth="8.83203125" defaultRowHeight="13" x14ac:dyDescent="0.15"/>
  <cols>
    <col min="1" max="1" width="8.83203125" style="12"/>
    <col min="2" max="2" width="12.6640625" style="12" customWidth="1"/>
    <col min="3" max="3" width="12.1640625" style="12" customWidth="1"/>
    <col min="4" max="4" width="11.5" style="12" customWidth="1"/>
    <col min="5" max="5" width="10" style="12" customWidth="1"/>
    <col min="6" max="6" width="10.83203125" style="12" customWidth="1"/>
    <col min="7" max="7" width="11.1640625" style="12" customWidth="1"/>
    <col min="8" max="8" width="11.83203125" style="12" customWidth="1"/>
    <col min="9" max="9" width="10.1640625" style="12" customWidth="1"/>
    <col min="10" max="10" width="11.5" style="12" customWidth="1"/>
    <col min="11" max="12" width="11" style="12" customWidth="1"/>
    <col min="13" max="13" width="10.5" style="12" customWidth="1"/>
    <col min="14" max="14" width="11.5" style="12" customWidth="1"/>
    <col min="15" max="15" width="13.83203125" style="12" bestFit="1" customWidth="1"/>
    <col min="16" max="16" width="17.83203125" style="12" bestFit="1" customWidth="1"/>
    <col min="17" max="17" width="13.83203125" style="12" bestFit="1" customWidth="1"/>
    <col min="18" max="18" width="15" style="12" bestFit="1" customWidth="1"/>
    <col min="19" max="19" width="13.83203125" style="12" bestFit="1" customWidth="1"/>
    <col min="20" max="20" width="11.5" style="12" customWidth="1"/>
    <col min="21" max="21" width="10.6640625" style="12" customWidth="1"/>
    <col min="22" max="22" width="10.83203125" style="12" customWidth="1"/>
    <col min="23" max="23" width="12.6640625" style="12" customWidth="1"/>
    <col min="24" max="24" width="15" style="12" bestFit="1" customWidth="1"/>
    <col min="25" max="25" width="10.1640625" style="12" customWidth="1"/>
    <col min="26" max="26" width="12.1640625" style="12" customWidth="1"/>
    <col min="27" max="27" width="11.33203125" style="12" customWidth="1"/>
    <col min="28" max="28" width="10.33203125" style="12" customWidth="1"/>
    <col min="29" max="29" width="13.5" style="12" bestFit="1" customWidth="1"/>
    <col min="30" max="30" width="13.83203125" style="12" bestFit="1" customWidth="1"/>
    <col min="31" max="31" width="12.1640625" style="12" bestFit="1" customWidth="1"/>
    <col min="32" max="32" width="13.83203125" style="12" bestFit="1" customWidth="1"/>
    <col min="33" max="33" width="15" style="12" bestFit="1" customWidth="1"/>
    <col min="34" max="35" width="13.83203125" style="12" bestFit="1" customWidth="1"/>
    <col min="36" max="257" width="8.83203125" style="12"/>
    <col min="258" max="258" width="14.5" style="12" customWidth="1"/>
    <col min="259" max="259" width="16.5" style="12" customWidth="1"/>
    <col min="260" max="260" width="14.5" style="12" customWidth="1"/>
    <col min="261" max="263" width="8.83203125" style="12"/>
    <col min="264" max="264" width="10.33203125" style="12" bestFit="1" customWidth="1"/>
    <col min="265" max="265" width="10.1640625" style="12" customWidth="1"/>
    <col min="266" max="266" width="11.5" style="12" customWidth="1"/>
    <col min="267" max="267" width="11" style="12" customWidth="1"/>
    <col min="268" max="268" width="6.33203125" style="12" customWidth="1"/>
    <col min="269" max="269" width="11.33203125" style="12" customWidth="1"/>
    <col min="270" max="270" width="14.6640625" style="12" bestFit="1" customWidth="1"/>
    <col min="271" max="513" width="8.83203125" style="12"/>
    <col min="514" max="514" width="14.5" style="12" customWidth="1"/>
    <col min="515" max="515" width="16.5" style="12" customWidth="1"/>
    <col min="516" max="516" width="14.5" style="12" customWidth="1"/>
    <col min="517" max="519" width="8.83203125" style="12"/>
    <col min="520" max="520" width="10.33203125" style="12" bestFit="1" customWidth="1"/>
    <col min="521" max="521" width="10.1640625" style="12" customWidth="1"/>
    <col min="522" max="522" width="11.5" style="12" customWidth="1"/>
    <col min="523" max="523" width="11" style="12" customWidth="1"/>
    <col min="524" max="524" width="6.33203125" style="12" customWidth="1"/>
    <col min="525" max="525" width="11.33203125" style="12" customWidth="1"/>
    <col min="526" max="526" width="14.6640625" style="12" bestFit="1" customWidth="1"/>
    <col min="527" max="769" width="8.83203125" style="12"/>
    <col min="770" max="770" width="14.5" style="12" customWidth="1"/>
    <col min="771" max="771" width="16.5" style="12" customWidth="1"/>
    <col min="772" max="772" width="14.5" style="12" customWidth="1"/>
    <col min="773" max="775" width="8.83203125" style="12"/>
    <col min="776" max="776" width="10.33203125" style="12" bestFit="1" customWidth="1"/>
    <col min="777" max="777" width="10.1640625" style="12" customWidth="1"/>
    <col min="778" max="778" width="11.5" style="12" customWidth="1"/>
    <col min="779" max="779" width="11" style="12" customWidth="1"/>
    <col min="780" max="780" width="6.33203125" style="12" customWidth="1"/>
    <col min="781" max="781" width="11.33203125" style="12" customWidth="1"/>
    <col min="782" max="782" width="14.6640625" style="12" bestFit="1" customWidth="1"/>
    <col min="783" max="1025" width="8.83203125" style="12"/>
    <col min="1026" max="1026" width="14.5" style="12" customWidth="1"/>
    <col min="1027" max="1027" width="16.5" style="12" customWidth="1"/>
    <col min="1028" max="1028" width="14.5" style="12" customWidth="1"/>
    <col min="1029" max="1031" width="8.83203125" style="12"/>
    <col min="1032" max="1032" width="10.33203125" style="12" bestFit="1" customWidth="1"/>
    <col min="1033" max="1033" width="10.1640625" style="12" customWidth="1"/>
    <col min="1034" max="1034" width="11.5" style="12" customWidth="1"/>
    <col min="1035" max="1035" width="11" style="12" customWidth="1"/>
    <col min="1036" max="1036" width="6.33203125" style="12" customWidth="1"/>
    <col min="1037" max="1037" width="11.33203125" style="12" customWidth="1"/>
    <col min="1038" max="1038" width="14.6640625" style="12" bestFit="1" customWidth="1"/>
    <col min="1039" max="1281" width="8.83203125" style="12"/>
    <col min="1282" max="1282" width="14.5" style="12" customWidth="1"/>
    <col min="1283" max="1283" width="16.5" style="12" customWidth="1"/>
    <col min="1284" max="1284" width="14.5" style="12" customWidth="1"/>
    <col min="1285" max="1287" width="8.83203125" style="12"/>
    <col min="1288" max="1288" width="10.33203125" style="12" bestFit="1" customWidth="1"/>
    <col min="1289" max="1289" width="10.1640625" style="12" customWidth="1"/>
    <col min="1290" max="1290" width="11.5" style="12" customWidth="1"/>
    <col min="1291" max="1291" width="11" style="12" customWidth="1"/>
    <col min="1292" max="1292" width="6.33203125" style="12" customWidth="1"/>
    <col min="1293" max="1293" width="11.33203125" style="12" customWidth="1"/>
    <col min="1294" max="1294" width="14.6640625" style="12" bestFit="1" customWidth="1"/>
    <col min="1295" max="1537" width="8.83203125" style="12"/>
    <col min="1538" max="1538" width="14.5" style="12" customWidth="1"/>
    <col min="1539" max="1539" width="16.5" style="12" customWidth="1"/>
    <col min="1540" max="1540" width="14.5" style="12" customWidth="1"/>
    <col min="1541" max="1543" width="8.83203125" style="12"/>
    <col min="1544" max="1544" width="10.33203125" style="12" bestFit="1" customWidth="1"/>
    <col min="1545" max="1545" width="10.1640625" style="12" customWidth="1"/>
    <col min="1546" max="1546" width="11.5" style="12" customWidth="1"/>
    <col min="1547" max="1547" width="11" style="12" customWidth="1"/>
    <col min="1548" max="1548" width="6.33203125" style="12" customWidth="1"/>
    <col min="1549" max="1549" width="11.33203125" style="12" customWidth="1"/>
    <col min="1550" max="1550" width="14.6640625" style="12" bestFit="1" customWidth="1"/>
    <col min="1551" max="1793" width="8.83203125" style="12"/>
    <col min="1794" max="1794" width="14.5" style="12" customWidth="1"/>
    <col min="1795" max="1795" width="16.5" style="12" customWidth="1"/>
    <col min="1796" max="1796" width="14.5" style="12" customWidth="1"/>
    <col min="1797" max="1799" width="8.83203125" style="12"/>
    <col min="1800" max="1800" width="10.33203125" style="12" bestFit="1" customWidth="1"/>
    <col min="1801" max="1801" width="10.1640625" style="12" customWidth="1"/>
    <col min="1802" max="1802" width="11.5" style="12" customWidth="1"/>
    <col min="1803" max="1803" width="11" style="12" customWidth="1"/>
    <col min="1804" max="1804" width="6.33203125" style="12" customWidth="1"/>
    <col min="1805" max="1805" width="11.33203125" style="12" customWidth="1"/>
    <col min="1806" max="1806" width="14.6640625" style="12" bestFit="1" customWidth="1"/>
    <col min="1807" max="2049" width="8.83203125" style="12"/>
    <col min="2050" max="2050" width="14.5" style="12" customWidth="1"/>
    <col min="2051" max="2051" width="16.5" style="12" customWidth="1"/>
    <col min="2052" max="2052" width="14.5" style="12" customWidth="1"/>
    <col min="2053" max="2055" width="8.83203125" style="12"/>
    <col min="2056" max="2056" width="10.33203125" style="12" bestFit="1" customWidth="1"/>
    <col min="2057" max="2057" width="10.1640625" style="12" customWidth="1"/>
    <col min="2058" max="2058" width="11.5" style="12" customWidth="1"/>
    <col min="2059" max="2059" width="11" style="12" customWidth="1"/>
    <col min="2060" max="2060" width="6.33203125" style="12" customWidth="1"/>
    <col min="2061" max="2061" width="11.33203125" style="12" customWidth="1"/>
    <col min="2062" max="2062" width="14.6640625" style="12" bestFit="1" customWidth="1"/>
    <col min="2063" max="2305" width="8.83203125" style="12"/>
    <col min="2306" max="2306" width="14.5" style="12" customWidth="1"/>
    <col min="2307" max="2307" width="16.5" style="12" customWidth="1"/>
    <col min="2308" max="2308" width="14.5" style="12" customWidth="1"/>
    <col min="2309" max="2311" width="8.83203125" style="12"/>
    <col min="2312" max="2312" width="10.33203125" style="12" bestFit="1" customWidth="1"/>
    <col min="2313" max="2313" width="10.1640625" style="12" customWidth="1"/>
    <col min="2314" max="2314" width="11.5" style="12" customWidth="1"/>
    <col min="2315" max="2315" width="11" style="12" customWidth="1"/>
    <col min="2316" max="2316" width="6.33203125" style="12" customWidth="1"/>
    <col min="2317" max="2317" width="11.33203125" style="12" customWidth="1"/>
    <col min="2318" max="2318" width="14.6640625" style="12" bestFit="1" customWidth="1"/>
    <col min="2319" max="2561" width="8.83203125" style="12"/>
    <col min="2562" max="2562" width="14.5" style="12" customWidth="1"/>
    <col min="2563" max="2563" width="16.5" style="12" customWidth="1"/>
    <col min="2564" max="2564" width="14.5" style="12" customWidth="1"/>
    <col min="2565" max="2567" width="8.83203125" style="12"/>
    <col min="2568" max="2568" width="10.33203125" style="12" bestFit="1" customWidth="1"/>
    <col min="2569" max="2569" width="10.1640625" style="12" customWidth="1"/>
    <col min="2570" max="2570" width="11.5" style="12" customWidth="1"/>
    <col min="2571" max="2571" width="11" style="12" customWidth="1"/>
    <col min="2572" max="2572" width="6.33203125" style="12" customWidth="1"/>
    <col min="2573" max="2573" width="11.33203125" style="12" customWidth="1"/>
    <col min="2574" max="2574" width="14.6640625" style="12" bestFit="1" customWidth="1"/>
    <col min="2575" max="2817" width="8.83203125" style="12"/>
    <col min="2818" max="2818" width="14.5" style="12" customWidth="1"/>
    <col min="2819" max="2819" width="16.5" style="12" customWidth="1"/>
    <col min="2820" max="2820" width="14.5" style="12" customWidth="1"/>
    <col min="2821" max="2823" width="8.83203125" style="12"/>
    <col min="2824" max="2824" width="10.33203125" style="12" bestFit="1" customWidth="1"/>
    <col min="2825" max="2825" width="10.1640625" style="12" customWidth="1"/>
    <col min="2826" max="2826" width="11.5" style="12" customWidth="1"/>
    <col min="2827" max="2827" width="11" style="12" customWidth="1"/>
    <col min="2828" max="2828" width="6.33203125" style="12" customWidth="1"/>
    <col min="2829" max="2829" width="11.33203125" style="12" customWidth="1"/>
    <col min="2830" max="2830" width="14.6640625" style="12" bestFit="1" customWidth="1"/>
    <col min="2831" max="3073" width="8.83203125" style="12"/>
    <col min="3074" max="3074" width="14.5" style="12" customWidth="1"/>
    <col min="3075" max="3075" width="16.5" style="12" customWidth="1"/>
    <col min="3076" max="3076" width="14.5" style="12" customWidth="1"/>
    <col min="3077" max="3079" width="8.83203125" style="12"/>
    <col min="3080" max="3080" width="10.33203125" style="12" bestFit="1" customWidth="1"/>
    <col min="3081" max="3081" width="10.1640625" style="12" customWidth="1"/>
    <col min="3082" max="3082" width="11.5" style="12" customWidth="1"/>
    <col min="3083" max="3083" width="11" style="12" customWidth="1"/>
    <col min="3084" max="3084" width="6.33203125" style="12" customWidth="1"/>
    <col min="3085" max="3085" width="11.33203125" style="12" customWidth="1"/>
    <col min="3086" max="3086" width="14.6640625" style="12" bestFit="1" customWidth="1"/>
    <col min="3087" max="3329" width="8.83203125" style="12"/>
    <col min="3330" max="3330" width="14.5" style="12" customWidth="1"/>
    <col min="3331" max="3331" width="16.5" style="12" customWidth="1"/>
    <col min="3332" max="3332" width="14.5" style="12" customWidth="1"/>
    <col min="3333" max="3335" width="8.83203125" style="12"/>
    <col min="3336" max="3336" width="10.33203125" style="12" bestFit="1" customWidth="1"/>
    <col min="3337" max="3337" width="10.1640625" style="12" customWidth="1"/>
    <col min="3338" max="3338" width="11.5" style="12" customWidth="1"/>
    <col min="3339" max="3339" width="11" style="12" customWidth="1"/>
    <col min="3340" max="3340" width="6.33203125" style="12" customWidth="1"/>
    <col min="3341" max="3341" width="11.33203125" style="12" customWidth="1"/>
    <col min="3342" max="3342" width="14.6640625" style="12" bestFit="1" customWidth="1"/>
    <col min="3343" max="3585" width="8.83203125" style="12"/>
    <col min="3586" max="3586" width="14.5" style="12" customWidth="1"/>
    <col min="3587" max="3587" width="16.5" style="12" customWidth="1"/>
    <col min="3588" max="3588" width="14.5" style="12" customWidth="1"/>
    <col min="3589" max="3591" width="8.83203125" style="12"/>
    <col min="3592" max="3592" width="10.33203125" style="12" bestFit="1" customWidth="1"/>
    <col min="3593" max="3593" width="10.1640625" style="12" customWidth="1"/>
    <col min="3594" max="3594" width="11.5" style="12" customWidth="1"/>
    <col min="3595" max="3595" width="11" style="12" customWidth="1"/>
    <col min="3596" max="3596" width="6.33203125" style="12" customWidth="1"/>
    <col min="3597" max="3597" width="11.33203125" style="12" customWidth="1"/>
    <col min="3598" max="3598" width="14.6640625" style="12" bestFit="1" customWidth="1"/>
    <col min="3599" max="3841" width="8.83203125" style="12"/>
    <col min="3842" max="3842" width="14.5" style="12" customWidth="1"/>
    <col min="3843" max="3843" width="16.5" style="12" customWidth="1"/>
    <col min="3844" max="3844" width="14.5" style="12" customWidth="1"/>
    <col min="3845" max="3847" width="8.83203125" style="12"/>
    <col min="3848" max="3848" width="10.33203125" style="12" bestFit="1" customWidth="1"/>
    <col min="3849" max="3849" width="10.1640625" style="12" customWidth="1"/>
    <col min="3850" max="3850" width="11.5" style="12" customWidth="1"/>
    <col min="3851" max="3851" width="11" style="12" customWidth="1"/>
    <col min="3852" max="3852" width="6.33203125" style="12" customWidth="1"/>
    <col min="3853" max="3853" width="11.33203125" style="12" customWidth="1"/>
    <col min="3854" max="3854" width="14.6640625" style="12" bestFit="1" customWidth="1"/>
    <col min="3855" max="4097" width="8.83203125" style="12"/>
    <col min="4098" max="4098" width="14.5" style="12" customWidth="1"/>
    <col min="4099" max="4099" width="16.5" style="12" customWidth="1"/>
    <col min="4100" max="4100" width="14.5" style="12" customWidth="1"/>
    <col min="4101" max="4103" width="8.83203125" style="12"/>
    <col min="4104" max="4104" width="10.33203125" style="12" bestFit="1" customWidth="1"/>
    <col min="4105" max="4105" width="10.1640625" style="12" customWidth="1"/>
    <col min="4106" max="4106" width="11.5" style="12" customWidth="1"/>
    <col min="4107" max="4107" width="11" style="12" customWidth="1"/>
    <col min="4108" max="4108" width="6.33203125" style="12" customWidth="1"/>
    <col min="4109" max="4109" width="11.33203125" style="12" customWidth="1"/>
    <col min="4110" max="4110" width="14.6640625" style="12" bestFit="1" customWidth="1"/>
    <col min="4111" max="4353" width="8.83203125" style="12"/>
    <col min="4354" max="4354" width="14.5" style="12" customWidth="1"/>
    <col min="4355" max="4355" width="16.5" style="12" customWidth="1"/>
    <col min="4356" max="4356" width="14.5" style="12" customWidth="1"/>
    <col min="4357" max="4359" width="8.83203125" style="12"/>
    <col min="4360" max="4360" width="10.33203125" style="12" bestFit="1" customWidth="1"/>
    <col min="4361" max="4361" width="10.1640625" style="12" customWidth="1"/>
    <col min="4362" max="4362" width="11.5" style="12" customWidth="1"/>
    <col min="4363" max="4363" width="11" style="12" customWidth="1"/>
    <col min="4364" max="4364" width="6.33203125" style="12" customWidth="1"/>
    <col min="4365" max="4365" width="11.33203125" style="12" customWidth="1"/>
    <col min="4366" max="4366" width="14.6640625" style="12" bestFit="1" customWidth="1"/>
    <col min="4367" max="4609" width="8.83203125" style="12"/>
    <col min="4610" max="4610" width="14.5" style="12" customWidth="1"/>
    <col min="4611" max="4611" width="16.5" style="12" customWidth="1"/>
    <col min="4612" max="4612" width="14.5" style="12" customWidth="1"/>
    <col min="4613" max="4615" width="8.83203125" style="12"/>
    <col min="4616" max="4616" width="10.33203125" style="12" bestFit="1" customWidth="1"/>
    <col min="4617" max="4617" width="10.1640625" style="12" customWidth="1"/>
    <col min="4618" max="4618" width="11.5" style="12" customWidth="1"/>
    <col min="4619" max="4619" width="11" style="12" customWidth="1"/>
    <col min="4620" max="4620" width="6.33203125" style="12" customWidth="1"/>
    <col min="4621" max="4621" width="11.33203125" style="12" customWidth="1"/>
    <col min="4622" max="4622" width="14.6640625" style="12" bestFit="1" customWidth="1"/>
    <col min="4623" max="4865" width="8.83203125" style="12"/>
    <col min="4866" max="4866" width="14.5" style="12" customWidth="1"/>
    <col min="4867" max="4867" width="16.5" style="12" customWidth="1"/>
    <col min="4868" max="4868" width="14.5" style="12" customWidth="1"/>
    <col min="4869" max="4871" width="8.83203125" style="12"/>
    <col min="4872" max="4872" width="10.33203125" style="12" bestFit="1" customWidth="1"/>
    <col min="4873" max="4873" width="10.1640625" style="12" customWidth="1"/>
    <col min="4874" max="4874" width="11.5" style="12" customWidth="1"/>
    <col min="4875" max="4875" width="11" style="12" customWidth="1"/>
    <col min="4876" max="4876" width="6.33203125" style="12" customWidth="1"/>
    <col min="4877" max="4877" width="11.33203125" style="12" customWidth="1"/>
    <col min="4878" max="4878" width="14.6640625" style="12" bestFit="1" customWidth="1"/>
    <col min="4879" max="5121" width="8.83203125" style="12"/>
    <col min="5122" max="5122" width="14.5" style="12" customWidth="1"/>
    <col min="5123" max="5123" width="16.5" style="12" customWidth="1"/>
    <col min="5124" max="5124" width="14.5" style="12" customWidth="1"/>
    <col min="5125" max="5127" width="8.83203125" style="12"/>
    <col min="5128" max="5128" width="10.33203125" style="12" bestFit="1" customWidth="1"/>
    <col min="5129" max="5129" width="10.1640625" style="12" customWidth="1"/>
    <col min="5130" max="5130" width="11.5" style="12" customWidth="1"/>
    <col min="5131" max="5131" width="11" style="12" customWidth="1"/>
    <col min="5132" max="5132" width="6.33203125" style="12" customWidth="1"/>
    <col min="5133" max="5133" width="11.33203125" style="12" customWidth="1"/>
    <col min="5134" max="5134" width="14.6640625" style="12" bestFit="1" customWidth="1"/>
    <col min="5135" max="5377" width="8.83203125" style="12"/>
    <col min="5378" max="5378" width="14.5" style="12" customWidth="1"/>
    <col min="5379" max="5379" width="16.5" style="12" customWidth="1"/>
    <col min="5380" max="5380" width="14.5" style="12" customWidth="1"/>
    <col min="5381" max="5383" width="8.83203125" style="12"/>
    <col min="5384" max="5384" width="10.33203125" style="12" bestFit="1" customWidth="1"/>
    <col min="5385" max="5385" width="10.1640625" style="12" customWidth="1"/>
    <col min="5386" max="5386" width="11.5" style="12" customWidth="1"/>
    <col min="5387" max="5387" width="11" style="12" customWidth="1"/>
    <col min="5388" max="5388" width="6.33203125" style="12" customWidth="1"/>
    <col min="5389" max="5389" width="11.33203125" style="12" customWidth="1"/>
    <col min="5390" max="5390" width="14.6640625" style="12" bestFit="1" customWidth="1"/>
    <col min="5391" max="5633" width="8.83203125" style="12"/>
    <col min="5634" max="5634" width="14.5" style="12" customWidth="1"/>
    <col min="5635" max="5635" width="16.5" style="12" customWidth="1"/>
    <col min="5636" max="5636" width="14.5" style="12" customWidth="1"/>
    <col min="5637" max="5639" width="8.83203125" style="12"/>
    <col min="5640" max="5640" width="10.33203125" style="12" bestFit="1" customWidth="1"/>
    <col min="5641" max="5641" width="10.1640625" style="12" customWidth="1"/>
    <col min="5642" max="5642" width="11.5" style="12" customWidth="1"/>
    <col min="5643" max="5643" width="11" style="12" customWidth="1"/>
    <col min="5644" max="5644" width="6.33203125" style="12" customWidth="1"/>
    <col min="5645" max="5645" width="11.33203125" style="12" customWidth="1"/>
    <col min="5646" max="5646" width="14.6640625" style="12" bestFit="1" customWidth="1"/>
    <col min="5647" max="5889" width="8.83203125" style="12"/>
    <col min="5890" max="5890" width="14.5" style="12" customWidth="1"/>
    <col min="5891" max="5891" width="16.5" style="12" customWidth="1"/>
    <col min="5892" max="5892" width="14.5" style="12" customWidth="1"/>
    <col min="5893" max="5895" width="8.83203125" style="12"/>
    <col min="5896" max="5896" width="10.33203125" style="12" bestFit="1" customWidth="1"/>
    <col min="5897" max="5897" width="10.1640625" style="12" customWidth="1"/>
    <col min="5898" max="5898" width="11.5" style="12" customWidth="1"/>
    <col min="5899" max="5899" width="11" style="12" customWidth="1"/>
    <col min="5900" max="5900" width="6.33203125" style="12" customWidth="1"/>
    <col min="5901" max="5901" width="11.33203125" style="12" customWidth="1"/>
    <col min="5902" max="5902" width="14.6640625" style="12" bestFit="1" customWidth="1"/>
    <col min="5903" max="6145" width="8.83203125" style="12"/>
    <col min="6146" max="6146" width="14.5" style="12" customWidth="1"/>
    <col min="6147" max="6147" width="16.5" style="12" customWidth="1"/>
    <col min="6148" max="6148" width="14.5" style="12" customWidth="1"/>
    <col min="6149" max="6151" width="8.83203125" style="12"/>
    <col min="6152" max="6152" width="10.33203125" style="12" bestFit="1" customWidth="1"/>
    <col min="6153" max="6153" width="10.1640625" style="12" customWidth="1"/>
    <col min="6154" max="6154" width="11.5" style="12" customWidth="1"/>
    <col min="6155" max="6155" width="11" style="12" customWidth="1"/>
    <col min="6156" max="6156" width="6.33203125" style="12" customWidth="1"/>
    <col min="6157" max="6157" width="11.33203125" style="12" customWidth="1"/>
    <col min="6158" max="6158" width="14.6640625" style="12" bestFit="1" customWidth="1"/>
    <col min="6159" max="6401" width="8.83203125" style="12"/>
    <col min="6402" max="6402" width="14.5" style="12" customWidth="1"/>
    <col min="6403" max="6403" width="16.5" style="12" customWidth="1"/>
    <col min="6404" max="6404" width="14.5" style="12" customWidth="1"/>
    <col min="6405" max="6407" width="8.83203125" style="12"/>
    <col min="6408" max="6408" width="10.33203125" style="12" bestFit="1" customWidth="1"/>
    <col min="6409" max="6409" width="10.1640625" style="12" customWidth="1"/>
    <col min="6410" max="6410" width="11.5" style="12" customWidth="1"/>
    <col min="6411" max="6411" width="11" style="12" customWidth="1"/>
    <col min="6412" max="6412" width="6.33203125" style="12" customWidth="1"/>
    <col min="6413" max="6413" width="11.33203125" style="12" customWidth="1"/>
    <col min="6414" max="6414" width="14.6640625" style="12" bestFit="1" customWidth="1"/>
    <col min="6415" max="6657" width="8.83203125" style="12"/>
    <col min="6658" max="6658" width="14.5" style="12" customWidth="1"/>
    <col min="6659" max="6659" width="16.5" style="12" customWidth="1"/>
    <col min="6660" max="6660" width="14.5" style="12" customWidth="1"/>
    <col min="6661" max="6663" width="8.83203125" style="12"/>
    <col min="6664" max="6664" width="10.33203125" style="12" bestFit="1" customWidth="1"/>
    <col min="6665" max="6665" width="10.1640625" style="12" customWidth="1"/>
    <col min="6666" max="6666" width="11.5" style="12" customWidth="1"/>
    <col min="6667" max="6667" width="11" style="12" customWidth="1"/>
    <col min="6668" max="6668" width="6.33203125" style="12" customWidth="1"/>
    <col min="6669" max="6669" width="11.33203125" style="12" customWidth="1"/>
    <col min="6670" max="6670" width="14.6640625" style="12" bestFit="1" customWidth="1"/>
    <col min="6671" max="6913" width="8.83203125" style="12"/>
    <col min="6914" max="6914" width="14.5" style="12" customWidth="1"/>
    <col min="6915" max="6915" width="16.5" style="12" customWidth="1"/>
    <col min="6916" max="6916" width="14.5" style="12" customWidth="1"/>
    <col min="6917" max="6919" width="8.83203125" style="12"/>
    <col min="6920" max="6920" width="10.33203125" style="12" bestFit="1" customWidth="1"/>
    <col min="6921" max="6921" width="10.1640625" style="12" customWidth="1"/>
    <col min="6922" max="6922" width="11.5" style="12" customWidth="1"/>
    <col min="6923" max="6923" width="11" style="12" customWidth="1"/>
    <col min="6924" max="6924" width="6.33203125" style="12" customWidth="1"/>
    <col min="6925" max="6925" width="11.33203125" style="12" customWidth="1"/>
    <col min="6926" max="6926" width="14.6640625" style="12" bestFit="1" customWidth="1"/>
    <col min="6927" max="7169" width="8.83203125" style="12"/>
    <col min="7170" max="7170" width="14.5" style="12" customWidth="1"/>
    <col min="7171" max="7171" width="16.5" style="12" customWidth="1"/>
    <col min="7172" max="7172" width="14.5" style="12" customWidth="1"/>
    <col min="7173" max="7175" width="8.83203125" style="12"/>
    <col min="7176" max="7176" width="10.33203125" style="12" bestFit="1" customWidth="1"/>
    <col min="7177" max="7177" width="10.1640625" style="12" customWidth="1"/>
    <col min="7178" max="7178" width="11.5" style="12" customWidth="1"/>
    <col min="7179" max="7179" width="11" style="12" customWidth="1"/>
    <col min="7180" max="7180" width="6.33203125" style="12" customWidth="1"/>
    <col min="7181" max="7181" width="11.33203125" style="12" customWidth="1"/>
    <col min="7182" max="7182" width="14.6640625" style="12" bestFit="1" customWidth="1"/>
    <col min="7183" max="7425" width="8.83203125" style="12"/>
    <col min="7426" max="7426" width="14.5" style="12" customWidth="1"/>
    <col min="7427" max="7427" width="16.5" style="12" customWidth="1"/>
    <col min="7428" max="7428" width="14.5" style="12" customWidth="1"/>
    <col min="7429" max="7431" width="8.83203125" style="12"/>
    <col min="7432" max="7432" width="10.33203125" style="12" bestFit="1" customWidth="1"/>
    <col min="7433" max="7433" width="10.1640625" style="12" customWidth="1"/>
    <col min="7434" max="7434" width="11.5" style="12" customWidth="1"/>
    <col min="7435" max="7435" width="11" style="12" customWidth="1"/>
    <col min="7436" max="7436" width="6.33203125" style="12" customWidth="1"/>
    <col min="7437" max="7437" width="11.33203125" style="12" customWidth="1"/>
    <col min="7438" max="7438" width="14.6640625" style="12" bestFit="1" customWidth="1"/>
    <col min="7439" max="7681" width="8.83203125" style="12"/>
    <col min="7682" max="7682" width="14.5" style="12" customWidth="1"/>
    <col min="7683" max="7683" width="16.5" style="12" customWidth="1"/>
    <col min="7684" max="7684" width="14.5" style="12" customWidth="1"/>
    <col min="7685" max="7687" width="8.83203125" style="12"/>
    <col min="7688" max="7688" width="10.33203125" style="12" bestFit="1" customWidth="1"/>
    <col min="7689" max="7689" width="10.1640625" style="12" customWidth="1"/>
    <col min="7690" max="7690" width="11.5" style="12" customWidth="1"/>
    <col min="7691" max="7691" width="11" style="12" customWidth="1"/>
    <col min="7692" max="7692" width="6.33203125" style="12" customWidth="1"/>
    <col min="7693" max="7693" width="11.33203125" style="12" customWidth="1"/>
    <col min="7694" max="7694" width="14.6640625" style="12" bestFit="1" customWidth="1"/>
    <col min="7695" max="7937" width="8.83203125" style="12"/>
    <col min="7938" max="7938" width="14.5" style="12" customWidth="1"/>
    <col min="7939" max="7939" width="16.5" style="12" customWidth="1"/>
    <col min="7940" max="7940" width="14.5" style="12" customWidth="1"/>
    <col min="7941" max="7943" width="8.83203125" style="12"/>
    <col min="7944" max="7944" width="10.33203125" style="12" bestFit="1" customWidth="1"/>
    <col min="7945" max="7945" width="10.1640625" style="12" customWidth="1"/>
    <col min="7946" max="7946" width="11.5" style="12" customWidth="1"/>
    <col min="7947" max="7947" width="11" style="12" customWidth="1"/>
    <col min="7948" max="7948" width="6.33203125" style="12" customWidth="1"/>
    <col min="7949" max="7949" width="11.33203125" style="12" customWidth="1"/>
    <col min="7950" max="7950" width="14.6640625" style="12" bestFit="1" customWidth="1"/>
    <col min="7951" max="8193" width="8.83203125" style="12"/>
    <col min="8194" max="8194" width="14.5" style="12" customWidth="1"/>
    <col min="8195" max="8195" width="16.5" style="12" customWidth="1"/>
    <col min="8196" max="8196" width="14.5" style="12" customWidth="1"/>
    <col min="8197" max="8199" width="8.83203125" style="12"/>
    <col min="8200" max="8200" width="10.33203125" style="12" bestFit="1" customWidth="1"/>
    <col min="8201" max="8201" width="10.1640625" style="12" customWidth="1"/>
    <col min="8202" max="8202" width="11.5" style="12" customWidth="1"/>
    <col min="8203" max="8203" width="11" style="12" customWidth="1"/>
    <col min="8204" max="8204" width="6.33203125" style="12" customWidth="1"/>
    <col min="8205" max="8205" width="11.33203125" style="12" customWidth="1"/>
    <col min="8206" max="8206" width="14.6640625" style="12" bestFit="1" customWidth="1"/>
    <col min="8207" max="8449" width="8.83203125" style="12"/>
    <col min="8450" max="8450" width="14.5" style="12" customWidth="1"/>
    <col min="8451" max="8451" width="16.5" style="12" customWidth="1"/>
    <col min="8452" max="8452" width="14.5" style="12" customWidth="1"/>
    <col min="8453" max="8455" width="8.83203125" style="12"/>
    <col min="8456" max="8456" width="10.33203125" style="12" bestFit="1" customWidth="1"/>
    <col min="8457" max="8457" width="10.1640625" style="12" customWidth="1"/>
    <col min="8458" max="8458" width="11.5" style="12" customWidth="1"/>
    <col min="8459" max="8459" width="11" style="12" customWidth="1"/>
    <col min="8460" max="8460" width="6.33203125" style="12" customWidth="1"/>
    <col min="8461" max="8461" width="11.33203125" style="12" customWidth="1"/>
    <col min="8462" max="8462" width="14.6640625" style="12" bestFit="1" customWidth="1"/>
    <col min="8463" max="8705" width="8.83203125" style="12"/>
    <col min="8706" max="8706" width="14.5" style="12" customWidth="1"/>
    <col min="8707" max="8707" width="16.5" style="12" customWidth="1"/>
    <col min="8708" max="8708" width="14.5" style="12" customWidth="1"/>
    <col min="8709" max="8711" width="8.83203125" style="12"/>
    <col min="8712" max="8712" width="10.33203125" style="12" bestFit="1" customWidth="1"/>
    <col min="8713" max="8713" width="10.1640625" style="12" customWidth="1"/>
    <col min="8714" max="8714" width="11.5" style="12" customWidth="1"/>
    <col min="8715" max="8715" width="11" style="12" customWidth="1"/>
    <col min="8716" max="8716" width="6.33203125" style="12" customWidth="1"/>
    <col min="8717" max="8717" width="11.33203125" style="12" customWidth="1"/>
    <col min="8718" max="8718" width="14.6640625" style="12" bestFit="1" customWidth="1"/>
    <col min="8719" max="8961" width="8.83203125" style="12"/>
    <col min="8962" max="8962" width="14.5" style="12" customWidth="1"/>
    <col min="8963" max="8963" width="16.5" style="12" customWidth="1"/>
    <col min="8964" max="8964" width="14.5" style="12" customWidth="1"/>
    <col min="8965" max="8967" width="8.83203125" style="12"/>
    <col min="8968" max="8968" width="10.33203125" style="12" bestFit="1" customWidth="1"/>
    <col min="8969" max="8969" width="10.1640625" style="12" customWidth="1"/>
    <col min="8970" max="8970" width="11.5" style="12" customWidth="1"/>
    <col min="8971" max="8971" width="11" style="12" customWidth="1"/>
    <col min="8972" max="8972" width="6.33203125" style="12" customWidth="1"/>
    <col min="8973" max="8973" width="11.33203125" style="12" customWidth="1"/>
    <col min="8974" max="8974" width="14.6640625" style="12" bestFit="1" customWidth="1"/>
    <col min="8975" max="9217" width="8.83203125" style="12"/>
    <col min="9218" max="9218" width="14.5" style="12" customWidth="1"/>
    <col min="9219" max="9219" width="16.5" style="12" customWidth="1"/>
    <col min="9220" max="9220" width="14.5" style="12" customWidth="1"/>
    <col min="9221" max="9223" width="8.83203125" style="12"/>
    <col min="9224" max="9224" width="10.33203125" style="12" bestFit="1" customWidth="1"/>
    <col min="9225" max="9225" width="10.1640625" style="12" customWidth="1"/>
    <col min="9226" max="9226" width="11.5" style="12" customWidth="1"/>
    <col min="9227" max="9227" width="11" style="12" customWidth="1"/>
    <col min="9228" max="9228" width="6.33203125" style="12" customWidth="1"/>
    <col min="9229" max="9229" width="11.33203125" style="12" customWidth="1"/>
    <col min="9230" max="9230" width="14.6640625" style="12" bestFit="1" customWidth="1"/>
    <col min="9231" max="9473" width="8.83203125" style="12"/>
    <col min="9474" max="9474" width="14.5" style="12" customWidth="1"/>
    <col min="9475" max="9475" width="16.5" style="12" customWidth="1"/>
    <col min="9476" max="9476" width="14.5" style="12" customWidth="1"/>
    <col min="9477" max="9479" width="8.83203125" style="12"/>
    <col min="9480" max="9480" width="10.33203125" style="12" bestFit="1" customWidth="1"/>
    <col min="9481" max="9481" width="10.1640625" style="12" customWidth="1"/>
    <col min="9482" max="9482" width="11.5" style="12" customWidth="1"/>
    <col min="9483" max="9483" width="11" style="12" customWidth="1"/>
    <col min="9484" max="9484" width="6.33203125" style="12" customWidth="1"/>
    <col min="9485" max="9485" width="11.33203125" style="12" customWidth="1"/>
    <col min="9486" max="9486" width="14.6640625" style="12" bestFit="1" customWidth="1"/>
    <col min="9487" max="9729" width="8.83203125" style="12"/>
    <col min="9730" max="9730" width="14.5" style="12" customWidth="1"/>
    <col min="9731" max="9731" width="16.5" style="12" customWidth="1"/>
    <col min="9732" max="9732" width="14.5" style="12" customWidth="1"/>
    <col min="9733" max="9735" width="8.83203125" style="12"/>
    <col min="9736" max="9736" width="10.33203125" style="12" bestFit="1" customWidth="1"/>
    <col min="9737" max="9737" width="10.1640625" style="12" customWidth="1"/>
    <col min="9738" max="9738" width="11.5" style="12" customWidth="1"/>
    <col min="9739" max="9739" width="11" style="12" customWidth="1"/>
    <col min="9740" max="9740" width="6.33203125" style="12" customWidth="1"/>
    <col min="9741" max="9741" width="11.33203125" style="12" customWidth="1"/>
    <col min="9742" max="9742" width="14.6640625" style="12" bestFit="1" customWidth="1"/>
    <col min="9743" max="9985" width="8.83203125" style="12"/>
    <col min="9986" max="9986" width="14.5" style="12" customWidth="1"/>
    <col min="9987" max="9987" width="16.5" style="12" customWidth="1"/>
    <col min="9988" max="9988" width="14.5" style="12" customWidth="1"/>
    <col min="9989" max="9991" width="8.83203125" style="12"/>
    <col min="9992" max="9992" width="10.33203125" style="12" bestFit="1" customWidth="1"/>
    <col min="9993" max="9993" width="10.1640625" style="12" customWidth="1"/>
    <col min="9994" max="9994" width="11.5" style="12" customWidth="1"/>
    <col min="9995" max="9995" width="11" style="12" customWidth="1"/>
    <col min="9996" max="9996" width="6.33203125" style="12" customWidth="1"/>
    <col min="9997" max="9997" width="11.33203125" style="12" customWidth="1"/>
    <col min="9998" max="9998" width="14.6640625" style="12" bestFit="1" customWidth="1"/>
    <col min="9999" max="10241" width="8.83203125" style="12"/>
    <col min="10242" max="10242" width="14.5" style="12" customWidth="1"/>
    <col min="10243" max="10243" width="16.5" style="12" customWidth="1"/>
    <col min="10244" max="10244" width="14.5" style="12" customWidth="1"/>
    <col min="10245" max="10247" width="8.83203125" style="12"/>
    <col min="10248" max="10248" width="10.33203125" style="12" bestFit="1" customWidth="1"/>
    <col min="10249" max="10249" width="10.1640625" style="12" customWidth="1"/>
    <col min="10250" max="10250" width="11.5" style="12" customWidth="1"/>
    <col min="10251" max="10251" width="11" style="12" customWidth="1"/>
    <col min="10252" max="10252" width="6.33203125" style="12" customWidth="1"/>
    <col min="10253" max="10253" width="11.33203125" style="12" customWidth="1"/>
    <col min="10254" max="10254" width="14.6640625" style="12" bestFit="1" customWidth="1"/>
    <col min="10255" max="10497" width="8.83203125" style="12"/>
    <col min="10498" max="10498" width="14.5" style="12" customWidth="1"/>
    <col min="10499" max="10499" width="16.5" style="12" customWidth="1"/>
    <col min="10500" max="10500" width="14.5" style="12" customWidth="1"/>
    <col min="10501" max="10503" width="8.83203125" style="12"/>
    <col min="10504" max="10504" width="10.33203125" style="12" bestFit="1" customWidth="1"/>
    <col min="10505" max="10505" width="10.1640625" style="12" customWidth="1"/>
    <col min="10506" max="10506" width="11.5" style="12" customWidth="1"/>
    <col min="10507" max="10507" width="11" style="12" customWidth="1"/>
    <col min="10508" max="10508" width="6.33203125" style="12" customWidth="1"/>
    <col min="10509" max="10509" width="11.33203125" style="12" customWidth="1"/>
    <col min="10510" max="10510" width="14.6640625" style="12" bestFit="1" customWidth="1"/>
    <col min="10511" max="10753" width="8.83203125" style="12"/>
    <col min="10754" max="10754" width="14.5" style="12" customWidth="1"/>
    <col min="10755" max="10755" width="16.5" style="12" customWidth="1"/>
    <col min="10756" max="10756" width="14.5" style="12" customWidth="1"/>
    <col min="10757" max="10759" width="8.83203125" style="12"/>
    <col min="10760" max="10760" width="10.33203125" style="12" bestFit="1" customWidth="1"/>
    <col min="10761" max="10761" width="10.1640625" style="12" customWidth="1"/>
    <col min="10762" max="10762" width="11.5" style="12" customWidth="1"/>
    <col min="10763" max="10763" width="11" style="12" customWidth="1"/>
    <col min="10764" max="10764" width="6.33203125" style="12" customWidth="1"/>
    <col min="10765" max="10765" width="11.33203125" style="12" customWidth="1"/>
    <col min="10766" max="10766" width="14.6640625" style="12" bestFit="1" customWidth="1"/>
    <col min="10767" max="11009" width="8.83203125" style="12"/>
    <col min="11010" max="11010" width="14.5" style="12" customWidth="1"/>
    <col min="11011" max="11011" width="16.5" style="12" customWidth="1"/>
    <col min="11012" max="11012" width="14.5" style="12" customWidth="1"/>
    <col min="11013" max="11015" width="8.83203125" style="12"/>
    <col min="11016" max="11016" width="10.33203125" style="12" bestFit="1" customWidth="1"/>
    <col min="11017" max="11017" width="10.1640625" style="12" customWidth="1"/>
    <col min="11018" max="11018" width="11.5" style="12" customWidth="1"/>
    <col min="11019" max="11019" width="11" style="12" customWidth="1"/>
    <col min="11020" max="11020" width="6.33203125" style="12" customWidth="1"/>
    <col min="11021" max="11021" width="11.33203125" style="12" customWidth="1"/>
    <col min="11022" max="11022" width="14.6640625" style="12" bestFit="1" customWidth="1"/>
    <col min="11023" max="11265" width="8.83203125" style="12"/>
    <col min="11266" max="11266" width="14.5" style="12" customWidth="1"/>
    <col min="11267" max="11267" width="16.5" style="12" customWidth="1"/>
    <col min="11268" max="11268" width="14.5" style="12" customWidth="1"/>
    <col min="11269" max="11271" width="8.83203125" style="12"/>
    <col min="11272" max="11272" width="10.33203125" style="12" bestFit="1" customWidth="1"/>
    <col min="11273" max="11273" width="10.1640625" style="12" customWidth="1"/>
    <col min="11274" max="11274" width="11.5" style="12" customWidth="1"/>
    <col min="11275" max="11275" width="11" style="12" customWidth="1"/>
    <col min="11276" max="11276" width="6.33203125" style="12" customWidth="1"/>
    <col min="11277" max="11277" width="11.33203125" style="12" customWidth="1"/>
    <col min="11278" max="11278" width="14.6640625" style="12" bestFit="1" customWidth="1"/>
    <col min="11279" max="11521" width="8.83203125" style="12"/>
    <col min="11522" max="11522" width="14.5" style="12" customWidth="1"/>
    <col min="11523" max="11523" width="16.5" style="12" customWidth="1"/>
    <col min="11524" max="11524" width="14.5" style="12" customWidth="1"/>
    <col min="11525" max="11527" width="8.83203125" style="12"/>
    <col min="11528" max="11528" width="10.33203125" style="12" bestFit="1" customWidth="1"/>
    <col min="11529" max="11529" width="10.1640625" style="12" customWidth="1"/>
    <col min="11530" max="11530" width="11.5" style="12" customWidth="1"/>
    <col min="11531" max="11531" width="11" style="12" customWidth="1"/>
    <col min="11532" max="11532" width="6.33203125" style="12" customWidth="1"/>
    <col min="11533" max="11533" width="11.33203125" style="12" customWidth="1"/>
    <col min="11534" max="11534" width="14.6640625" style="12" bestFit="1" customWidth="1"/>
    <col min="11535" max="11777" width="8.83203125" style="12"/>
    <col min="11778" max="11778" width="14.5" style="12" customWidth="1"/>
    <col min="11779" max="11779" width="16.5" style="12" customWidth="1"/>
    <col min="11780" max="11780" width="14.5" style="12" customWidth="1"/>
    <col min="11781" max="11783" width="8.83203125" style="12"/>
    <col min="11784" max="11784" width="10.33203125" style="12" bestFit="1" customWidth="1"/>
    <col min="11785" max="11785" width="10.1640625" style="12" customWidth="1"/>
    <col min="11786" max="11786" width="11.5" style="12" customWidth="1"/>
    <col min="11787" max="11787" width="11" style="12" customWidth="1"/>
    <col min="11788" max="11788" width="6.33203125" style="12" customWidth="1"/>
    <col min="11789" max="11789" width="11.33203125" style="12" customWidth="1"/>
    <col min="11790" max="11790" width="14.6640625" style="12" bestFit="1" customWidth="1"/>
    <col min="11791" max="12033" width="8.83203125" style="12"/>
    <col min="12034" max="12034" width="14.5" style="12" customWidth="1"/>
    <col min="12035" max="12035" width="16.5" style="12" customWidth="1"/>
    <col min="12036" max="12036" width="14.5" style="12" customWidth="1"/>
    <col min="12037" max="12039" width="8.83203125" style="12"/>
    <col min="12040" max="12040" width="10.33203125" style="12" bestFit="1" customWidth="1"/>
    <col min="12041" max="12041" width="10.1640625" style="12" customWidth="1"/>
    <col min="12042" max="12042" width="11.5" style="12" customWidth="1"/>
    <col min="12043" max="12043" width="11" style="12" customWidth="1"/>
    <col min="12044" max="12044" width="6.33203125" style="12" customWidth="1"/>
    <col min="12045" max="12045" width="11.33203125" style="12" customWidth="1"/>
    <col min="12046" max="12046" width="14.6640625" style="12" bestFit="1" customWidth="1"/>
    <col min="12047" max="12289" width="8.83203125" style="12"/>
    <col min="12290" max="12290" width="14.5" style="12" customWidth="1"/>
    <col min="12291" max="12291" width="16.5" style="12" customWidth="1"/>
    <col min="12292" max="12292" width="14.5" style="12" customWidth="1"/>
    <col min="12293" max="12295" width="8.83203125" style="12"/>
    <col min="12296" max="12296" width="10.33203125" style="12" bestFit="1" customWidth="1"/>
    <col min="12297" max="12297" width="10.1640625" style="12" customWidth="1"/>
    <col min="12298" max="12298" width="11.5" style="12" customWidth="1"/>
    <col min="12299" max="12299" width="11" style="12" customWidth="1"/>
    <col min="12300" max="12300" width="6.33203125" style="12" customWidth="1"/>
    <col min="12301" max="12301" width="11.33203125" style="12" customWidth="1"/>
    <col min="12302" max="12302" width="14.6640625" style="12" bestFit="1" customWidth="1"/>
    <col min="12303" max="12545" width="8.83203125" style="12"/>
    <col min="12546" max="12546" width="14.5" style="12" customWidth="1"/>
    <col min="12547" max="12547" width="16.5" style="12" customWidth="1"/>
    <col min="12548" max="12548" width="14.5" style="12" customWidth="1"/>
    <col min="12549" max="12551" width="8.83203125" style="12"/>
    <col min="12552" max="12552" width="10.33203125" style="12" bestFit="1" customWidth="1"/>
    <col min="12553" max="12553" width="10.1640625" style="12" customWidth="1"/>
    <col min="12554" max="12554" width="11.5" style="12" customWidth="1"/>
    <col min="12555" max="12555" width="11" style="12" customWidth="1"/>
    <col min="12556" max="12556" width="6.33203125" style="12" customWidth="1"/>
    <col min="12557" max="12557" width="11.33203125" style="12" customWidth="1"/>
    <col min="12558" max="12558" width="14.6640625" style="12" bestFit="1" customWidth="1"/>
    <col min="12559" max="12801" width="8.83203125" style="12"/>
    <col min="12802" max="12802" width="14.5" style="12" customWidth="1"/>
    <col min="12803" max="12803" width="16.5" style="12" customWidth="1"/>
    <col min="12804" max="12804" width="14.5" style="12" customWidth="1"/>
    <col min="12805" max="12807" width="8.83203125" style="12"/>
    <col min="12808" max="12808" width="10.33203125" style="12" bestFit="1" customWidth="1"/>
    <col min="12809" max="12809" width="10.1640625" style="12" customWidth="1"/>
    <col min="12810" max="12810" width="11.5" style="12" customWidth="1"/>
    <col min="12811" max="12811" width="11" style="12" customWidth="1"/>
    <col min="12812" max="12812" width="6.33203125" style="12" customWidth="1"/>
    <col min="12813" max="12813" width="11.33203125" style="12" customWidth="1"/>
    <col min="12814" max="12814" width="14.6640625" style="12" bestFit="1" customWidth="1"/>
    <col min="12815" max="13057" width="8.83203125" style="12"/>
    <col min="13058" max="13058" width="14.5" style="12" customWidth="1"/>
    <col min="13059" max="13059" width="16.5" style="12" customWidth="1"/>
    <col min="13060" max="13060" width="14.5" style="12" customWidth="1"/>
    <col min="13061" max="13063" width="8.83203125" style="12"/>
    <col min="13064" max="13064" width="10.33203125" style="12" bestFit="1" customWidth="1"/>
    <col min="13065" max="13065" width="10.1640625" style="12" customWidth="1"/>
    <col min="13066" max="13066" width="11.5" style="12" customWidth="1"/>
    <col min="13067" max="13067" width="11" style="12" customWidth="1"/>
    <col min="13068" max="13068" width="6.33203125" style="12" customWidth="1"/>
    <col min="13069" max="13069" width="11.33203125" style="12" customWidth="1"/>
    <col min="13070" max="13070" width="14.6640625" style="12" bestFit="1" customWidth="1"/>
    <col min="13071" max="13313" width="8.83203125" style="12"/>
    <col min="13314" max="13314" width="14.5" style="12" customWidth="1"/>
    <col min="13315" max="13315" width="16.5" style="12" customWidth="1"/>
    <col min="13316" max="13316" width="14.5" style="12" customWidth="1"/>
    <col min="13317" max="13319" width="8.83203125" style="12"/>
    <col min="13320" max="13320" width="10.33203125" style="12" bestFit="1" customWidth="1"/>
    <col min="13321" max="13321" width="10.1640625" style="12" customWidth="1"/>
    <col min="13322" max="13322" width="11.5" style="12" customWidth="1"/>
    <col min="13323" max="13323" width="11" style="12" customWidth="1"/>
    <col min="13324" max="13324" width="6.33203125" style="12" customWidth="1"/>
    <col min="13325" max="13325" width="11.33203125" style="12" customWidth="1"/>
    <col min="13326" max="13326" width="14.6640625" style="12" bestFit="1" customWidth="1"/>
    <col min="13327" max="13569" width="8.83203125" style="12"/>
    <col min="13570" max="13570" width="14.5" style="12" customWidth="1"/>
    <col min="13571" max="13571" width="16.5" style="12" customWidth="1"/>
    <col min="13572" max="13572" width="14.5" style="12" customWidth="1"/>
    <col min="13573" max="13575" width="8.83203125" style="12"/>
    <col min="13576" max="13576" width="10.33203125" style="12" bestFit="1" customWidth="1"/>
    <col min="13577" max="13577" width="10.1640625" style="12" customWidth="1"/>
    <col min="13578" max="13578" width="11.5" style="12" customWidth="1"/>
    <col min="13579" max="13579" width="11" style="12" customWidth="1"/>
    <col min="13580" max="13580" width="6.33203125" style="12" customWidth="1"/>
    <col min="13581" max="13581" width="11.33203125" style="12" customWidth="1"/>
    <col min="13582" max="13582" width="14.6640625" style="12" bestFit="1" customWidth="1"/>
    <col min="13583" max="13825" width="8.83203125" style="12"/>
    <col min="13826" max="13826" width="14.5" style="12" customWidth="1"/>
    <col min="13827" max="13827" width="16.5" style="12" customWidth="1"/>
    <col min="13828" max="13828" width="14.5" style="12" customWidth="1"/>
    <col min="13829" max="13831" width="8.83203125" style="12"/>
    <col min="13832" max="13832" width="10.33203125" style="12" bestFit="1" customWidth="1"/>
    <col min="13833" max="13833" width="10.1640625" style="12" customWidth="1"/>
    <col min="13834" max="13834" width="11.5" style="12" customWidth="1"/>
    <col min="13835" max="13835" width="11" style="12" customWidth="1"/>
    <col min="13836" max="13836" width="6.33203125" style="12" customWidth="1"/>
    <col min="13837" max="13837" width="11.33203125" style="12" customWidth="1"/>
    <col min="13838" max="13838" width="14.6640625" style="12" bestFit="1" customWidth="1"/>
    <col min="13839" max="14081" width="8.83203125" style="12"/>
    <col min="14082" max="14082" width="14.5" style="12" customWidth="1"/>
    <col min="14083" max="14083" width="16.5" style="12" customWidth="1"/>
    <col min="14084" max="14084" width="14.5" style="12" customWidth="1"/>
    <col min="14085" max="14087" width="8.83203125" style="12"/>
    <col min="14088" max="14088" width="10.33203125" style="12" bestFit="1" customWidth="1"/>
    <col min="14089" max="14089" width="10.1640625" style="12" customWidth="1"/>
    <col min="14090" max="14090" width="11.5" style="12" customWidth="1"/>
    <col min="14091" max="14091" width="11" style="12" customWidth="1"/>
    <col min="14092" max="14092" width="6.33203125" style="12" customWidth="1"/>
    <col min="14093" max="14093" width="11.33203125" style="12" customWidth="1"/>
    <col min="14094" max="14094" width="14.6640625" style="12" bestFit="1" customWidth="1"/>
    <col min="14095" max="14337" width="8.83203125" style="12"/>
    <col min="14338" max="14338" width="14.5" style="12" customWidth="1"/>
    <col min="14339" max="14339" width="16.5" style="12" customWidth="1"/>
    <col min="14340" max="14340" width="14.5" style="12" customWidth="1"/>
    <col min="14341" max="14343" width="8.83203125" style="12"/>
    <col min="14344" max="14344" width="10.33203125" style="12" bestFit="1" customWidth="1"/>
    <col min="14345" max="14345" width="10.1640625" style="12" customWidth="1"/>
    <col min="14346" max="14346" width="11.5" style="12" customWidth="1"/>
    <col min="14347" max="14347" width="11" style="12" customWidth="1"/>
    <col min="14348" max="14348" width="6.33203125" style="12" customWidth="1"/>
    <col min="14349" max="14349" width="11.33203125" style="12" customWidth="1"/>
    <col min="14350" max="14350" width="14.6640625" style="12" bestFit="1" customWidth="1"/>
    <col min="14351" max="14593" width="8.83203125" style="12"/>
    <col min="14594" max="14594" width="14.5" style="12" customWidth="1"/>
    <col min="14595" max="14595" width="16.5" style="12" customWidth="1"/>
    <col min="14596" max="14596" width="14.5" style="12" customWidth="1"/>
    <col min="14597" max="14599" width="8.83203125" style="12"/>
    <col min="14600" max="14600" width="10.33203125" style="12" bestFit="1" customWidth="1"/>
    <col min="14601" max="14601" width="10.1640625" style="12" customWidth="1"/>
    <col min="14602" max="14602" width="11.5" style="12" customWidth="1"/>
    <col min="14603" max="14603" width="11" style="12" customWidth="1"/>
    <col min="14604" max="14604" width="6.33203125" style="12" customWidth="1"/>
    <col min="14605" max="14605" width="11.33203125" style="12" customWidth="1"/>
    <col min="14606" max="14606" width="14.6640625" style="12" bestFit="1" customWidth="1"/>
    <col min="14607" max="14849" width="8.83203125" style="12"/>
    <col min="14850" max="14850" width="14.5" style="12" customWidth="1"/>
    <col min="14851" max="14851" width="16.5" style="12" customWidth="1"/>
    <col min="14852" max="14852" width="14.5" style="12" customWidth="1"/>
    <col min="14853" max="14855" width="8.83203125" style="12"/>
    <col min="14856" max="14856" width="10.33203125" style="12" bestFit="1" customWidth="1"/>
    <col min="14857" max="14857" width="10.1640625" style="12" customWidth="1"/>
    <col min="14858" max="14858" width="11.5" style="12" customWidth="1"/>
    <col min="14859" max="14859" width="11" style="12" customWidth="1"/>
    <col min="14860" max="14860" width="6.33203125" style="12" customWidth="1"/>
    <col min="14861" max="14861" width="11.33203125" style="12" customWidth="1"/>
    <col min="14862" max="14862" width="14.6640625" style="12" bestFit="1" customWidth="1"/>
    <col min="14863" max="15105" width="8.83203125" style="12"/>
    <col min="15106" max="15106" width="14.5" style="12" customWidth="1"/>
    <col min="15107" max="15107" width="16.5" style="12" customWidth="1"/>
    <col min="15108" max="15108" width="14.5" style="12" customWidth="1"/>
    <col min="15109" max="15111" width="8.83203125" style="12"/>
    <col min="15112" max="15112" width="10.33203125" style="12" bestFit="1" customWidth="1"/>
    <col min="15113" max="15113" width="10.1640625" style="12" customWidth="1"/>
    <col min="15114" max="15114" width="11.5" style="12" customWidth="1"/>
    <col min="15115" max="15115" width="11" style="12" customWidth="1"/>
    <col min="15116" max="15116" width="6.33203125" style="12" customWidth="1"/>
    <col min="15117" max="15117" width="11.33203125" style="12" customWidth="1"/>
    <col min="15118" max="15118" width="14.6640625" style="12" bestFit="1" customWidth="1"/>
    <col min="15119" max="15361" width="8.83203125" style="12"/>
    <col min="15362" max="15362" width="14.5" style="12" customWidth="1"/>
    <col min="15363" max="15363" width="16.5" style="12" customWidth="1"/>
    <col min="15364" max="15364" width="14.5" style="12" customWidth="1"/>
    <col min="15365" max="15367" width="8.83203125" style="12"/>
    <col min="15368" max="15368" width="10.33203125" style="12" bestFit="1" customWidth="1"/>
    <col min="15369" max="15369" width="10.1640625" style="12" customWidth="1"/>
    <col min="15370" max="15370" width="11.5" style="12" customWidth="1"/>
    <col min="15371" max="15371" width="11" style="12" customWidth="1"/>
    <col min="15372" max="15372" width="6.33203125" style="12" customWidth="1"/>
    <col min="15373" max="15373" width="11.33203125" style="12" customWidth="1"/>
    <col min="15374" max="15374" width="14.6640625" style="12" bestFit="1" customWidth="1"/>
    <col min="15375" max="15617" width="8.83203125" style="12"/>
    <col min="15618" max="15618" width="14.5" style="12" customWidth="1"/>
    <col min="15619" max="15619" width="16.5" style="12" customWidth="1"/>
    <col min="15620" max="15620" width="14.5" style="12" customWidth="1"/>
    <col min="15621" max="15623" width="8.83203125" style="12"/>
    <col min="15624" max="15624" width="10.33203125" style="12" bestFit="1" customWidth="1"/>
    <col min="15625" max="15625" width="10.1640625" style="12" customWidth="1"/>
    <col min="15626" max="15626" width="11.5" style="12" customWidth="1"/>
    <col min="15627" max="15627" width="11" style="12" customWidth="1"/>
    <col min="15628" max="15628" width="6.33203125" style="12" customWidth="1"/>
    <col min="15629" max="15629" width="11.33203125" style="12" customWidth="1"/>
    <col min="15630" max="15630" width="14.6640625" style="12" bestFit="1" customWidth="1"/>
    <col min="15631" max="15873" width="8.83203125" style="12"/>
    <col min="15874" max="15874" width="14.5" style="12" customWidth="1"/>
    <col min="15875" max="15875" width="16.5" style="12" customWidth="1"/>
    <col min="15876" max="15876" width="14.5" style="12" customWidth="1"/>
    <col min="15877" max="15879" width="8.83203125" style="12"/>
    <col min="15880" max="15880" width="10.33203125" style="12" bestFit="1" customWidth="1"/>
    <col min="15881" max="15881" width="10.1640625" style="12" customWidth="1"/>
    <col min="15882" max="15882" width="11.5" style="12" customWidth="1"/>
    <col min="15883" max="15883" width="11" style="12" customWidth="1"/>
    <col min="15884" max="15884" width="6.33203125" style="12" customWidth="1"/>
    <col min="15885" max="15885" width="11.33203125" style="12" customWidth="1"/>
    <col min="15886" max="15886" width="14.6640625" style="12" bestFit="1" customWidth="1"/>
    <col min="15887" max="16129" width="8.83203125" style="12"/>
    <col min="16130" max="16130" width="14.5" style="12" customWidth="1"/>
    <col min="16131" max="16131" width="16.5" style="12" customWidth="1"/>
    <col min="16132" max="16132" width="14.5" style="12" customWidth="1"/>
    <col min="16133" max="16135" width="8.83203125" style="12"/>
    <col min="16136" max="16136" width="10.33203125" style="12" bestFit="1" customWidth="1"/>
    <col min="16137" max="16137" width="10.1640625" style="12" customWidth="1"/>
    <col min="16138" max="16138" width="11.5" style="12" customWidth="1"/>
    <col min="16139" max="16139" width="11" style="12" customWidth="1"/>
    <col min="16140" max="16140" width="6.33203125" style="12" customWidth="1"/>
    <col min="16141" max="16141" width="11.33203125" style="12" customWidth="1"/>
    <col min="16142" max="16142" width="14.6640625" style="12" bestFit="1" customWidth="1"/>
    <col min="16143" max="16384" width="8.83203125" style="12"/>
  </cols>
  <sheetData>
    <row r="1" spans="1:29" x14ac:dyDescent="0.15">
      <c r="A1" s="20" t="s">
        <v>76</v>
      </c>
    </row>
    <row r="2" spans="1:29" ht="28" x14ac:dyDescent="0.15">
      <c r="A2" s="1" t="s">
        <v>15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4" t="s">
        <v>16</v>
      </c>
      <c r="H2" s="2" t="s">
        <v>133</v>
      </c>
      <c r="I2" s="4" t="s">
        <v>10</v>
      </c>
      <c r="J2" s="4" t="s">
        <v>19</v>
      </c>
      <c r="K2" s="4" t="s">
        <v>11</v>
      </c>
      <c r="L2" s="4" t="s">
        <v>14</v>
      </c>
      <c r="M2" s="4" t="s">
        <v>12</v>
      </c>
      <c r="N2" s="4" t="s">
        <v>13</v>
      </c>
      <c r="P2" s="1" t="s">
        <v>15</v>
      </c>
      <c r="Q2" s="6" t="s">
        <v>5</v>
      </c>
      <c r="R2" s="6" t="s">
        <v>6</v>
      </c>
      <c r="S2" s="6" t="s">
        <v>7</v>
      </c>
      <c r="T2" s="6" t="s">
        <v>8</v>
      </c>
      <c r="U2" s="6" t="s">
        <v>9</v>
      </c>
      <c r="V2" s="4" t="s">
        <v>16</v>
      </c>
      <c r="W2" s="2" t="s">
        <v>133</v>
      </c>
      <c r="X2" s="4" t="s">
        <v>10</v>
      </c>
      <c r="Y2" s="4" t="s">
        <v>19</v>
      </c>
      <c r="Z2" s="4" t="s">
        <v>11</v>
      </c>
      <c r="AA2" s="4" t="s">
        <v>14</v>
      </c>
      <c r="AB2" s="4" t="s">
        <v>12</v>
      </c>
      <c r="AC2" s="4" t="s">
        <v>13</v>
      </c>
    </row>
    <row r="3" spans="1:29" ht="15.75" customHeight="1" x14ac:dyDescent="0.15">
      <c r="A3" s="134" t="str">
        <f>P3</f>
        <v>2018-10</v>
      </c>
      <c r="B3" s="133">
        <f>Q3/1000000</f>
        <v>2.9383140000000001</v>
      </c>
      <c r="C3" s="133">
        <f t="shared" ref="C3:C14" si="0">R3/1000000</f>
        <v>0.70505700000000004</v>
      </c>
      <c r="D3" s="133">
        <f t="shared" ref="D3:D14" si="1">S3/1000000</f>
        <v>40.555776999999999</v>
      </c>
      <c r="E3" s="133">
        <f t="shared" ref="E3:E14" si="2">T3/1000000</f>
        <v>26.266017999999999</v>
      </c>
      <c r="F3" s="133">
        <f t="shared" ref="F3:F14" si="3">U3/1000000</f>
        <v>7.5600750000000003</v>
      </c>
      <c r="G3" s="133">
        <f t="shared" ref="G3:G14" si="4">V3/1000000</f>
        <v>21.198727000000002</v>
      </c>
      <c r="H3" s="133">
        <f t="shared" ref="H3:H14" si="5">W3/1000000</f>
        <v>51.604787000000002</v>
      </c>
      <c r="I3" s="133">
        <f t="shared" ref="I3:I14" si="6">X3/1000000</f>
        <v>12.257853000000001</v>
      </c>
      <c r="J3" s="133">
        <f t="shared" ref="J3:J14" si="7">Y3/1000000</f>
        <v>1.925338</v>
      </c>
      <c r="K3" s="133">
        <f t="shared" ref="K3:K14" si="8">Z3/1000000</f>
        <v>4.6543650000000003</v>
      </c>
      <c r="L3" s="133">
        <f t="shared" ref="L3:L14" si="9">AA3/1000000</f>
        <v>6.109661</v>
      </c>
      <c r="M3" s="133">
        <f t="shared" ref="M3:M14" si="10">AB3/1000000</f>
        <v>0.10906299999999999</v>
      </c>
      <c r="N3" s="133">
        <f t="shared" ref="N3:N15" si="11">SUM(B3:M3)</f>
        <v>175.88503500000002</v>
      </c>
      <c r="P3" s="131" t="s">
        <v>134</v>
      </c>
      <c r="Q3" s="132">
        <v>2938314</v>
      </c>
      <c r="R3" s="132">
        <v>705057</v>
      </c>
      <c r="S3" s="132">
        <v>40555777</v>
      </c>
      <c r="T3" s="132">
        <v>26266018</v>
      </c>
      <c r="U3" s="132">
        <v>7560075</v>
      </c>
      <c r="V3" s="132">
        <v>21198727</v>
      </c>
      <c r="W3" s="132">
        <v>51604787</v>
      </c>
      <c r="X3" s="132">
        <v>12257853</v>
      </c>
      <c r="Y3" s="132">
        <v>1925338</v>
      </c>
      <c r="Z3" s="132">
        <v>4654365</v>
      </c>
      <c r="AA3" s="132">
        <v>6109661</v>
      </c>
      <c r="AB3" s="132">
        <v>109063</v>
      </c>
      <c r="AC3" s="167">
        <f t="shared" ref="AC3:AC14" si="12">SUM(Q3:AB3)</f>
        <v>175885035</v>
      </c>
    </row>
    <row r="4" spans="1:29" x14ac:dyDescent="0.15">
      <c r="A4" s="134" t="str">
        <f t="shared" ref="A4:A14" si="13">P4</f>
        <v>2018-11</v>
      </c>
      <c r="B4" s="133">
        <f t="shared" ref="B4:B14" si="14">Q4/1000000</f>
        <v>2.5847449999999998</v>
      </c>
      <c r="C4" s="133">
        <f t="shared" si="0"/>
        <v>0.78884900000000002</v>
      </c>
      <c r="D4" s="133">
        <f t="shared" si="1"/>
        <v>43.496819000000002</v>
      </c>
      <c r="E4" s="133">
        <f t="shared" si="2"/>
        <v>28.066877999999999</v>
      </c>
      <c r="F4" s="133">
        <f t="shared" si="3"/>
        <v>5.8195389999999998</v>
      </c>
      <c r="G4" s="133">
        <f t="shared" si="4"/>
        <v>20.132473999999998</v>
      </c>
      <c r="H4" s="133">
        <f t="shared" si="5"/>
        <v>41.805391</v>
      </c>
      <c r="I4" s="133">
        <f t="shared" si="6"/>
        <v>6.4065529999999997</v>
      </c>
      <c r="J4" s="133">
        <f t="shared" si="7"/>
        <v>2.4258280000000001</v>
      </c>
      <c r="K4" s="133">
        <f t="shared" si="8"/>
        <v>2.429754</v>
      </c>
      <c r="L4" s="133">
        <f t="shared" si="9"/>
        <v>5.1476550000000003</v>
      </c>
      <c r="M4" s="133">
        <f t="shared" si="10"/>
        <v>0.192717</v>
      </c>
      <c r="N4" s="133">
        <f t="shared" si="11"/>
        <v>159.297202</v>
      </c>
      <c r="P4" s="131" t="s">
        <v>135</v>
      </c>
      <c r="Q4" s="132">
        <v>2584745</v>
      </c>
      <c r="R4" s="132">
        <v>788849</v>
      </c>
      <c r="S4" s="132">
        <v>43496819</v>
      </c>
      <c r="T4" s="132">
        <v>28066878</v>
      </c>
      <c r="U4" s="132">
        <v>5819539</v>
      </c>
      <c r="V4" s="132">
        <v>20132474</v>
      </c>
      <c r="W4" s="132">
        <v>41805391</v>
      </c>
      <c r="X4" s="132">
        <v>6406553</v>
      </c>
      <c r="Y4" s="132">
        <v>2425828</v>
      </c>
      <c r="Z4" s="132">
        <v>2429754</v>
      </c>
      <c r="AA4" s="132">
        <v>5147655</v>
      </c>
      <c r="AB4" s="132">
        <v>192717</v>
      </c>
      <c r="AC4" s="167">
        <f t="shared" si="12"/>
        <v>159297202</v>
      </c>
    </row>
    <row r="5" spans="1:29" x14ac:dyDescent="0.15">
      <c r="A5" s="134" t="str">
        <f t="shared" si="13"/>
        <v>2018-12</v>
      </c>
      <c r="B5" s="133">
        <f t="shared" si="14"/>
        <v>4.3159479999999997</v>
      </c>
      <c r="C5" s="133">
        <f t="shared" si="0"/>
        <v>1.0397879999999999</v>
      </c>
      <c r="D5" s="133">
        <f t="shared" si="1"/>
        <v>30.729848</v>
      </c>
      <c r="E5" s="133">
        <f t="shared" si="2"/>
        <v>30.184854000000001</v>
      </c>
      <c r="F5" s="133">
        <f t="shared" si="3"/>
        <v>3.0845310000000001</v>
      </c>
      <c r="G5" s="133">
        <f t="shared" si="4"/>
        <v>23.180845000000001</v>
      </c>
      <c r="H5" s="133">
        <f t="shared" si="5"/>
        <v>26.733729</v>
      </c>
      <c r="I5" s="133">
        <f t="shared" si="6"/>
        <v>5.0757729999999999</v>
      </c>
      <c r="J5" s="133">
        <f t="shared" si="7"/>
        <v>2.9916529999999999</v>
      </c>
      <c r="K5" s="133">
        <f t="shared" si="8"/>
        <v>4.0717319999999999</v>
      </c>
      <c r="L5" s="133">
        <f t="shared" si="9"/>
        <v>6.0129130000000002</v>
      </c>
      <c r="M5" s="133">
        <f t="shared" si="10"/>
        <v>0.15767900000000001</v>
      </c>
      <c r="N5" s="133">
        <f t="shared" si="11"/>
        <v>137.57929300000001</v>
      </c>
      <c r="P5" s="131" t="s">
        <v>136</v>
      </c>
      <c r="Q5" s="132">
        <v>4315948</v>
      </c>
      <c r="R5" s="132">
        <v>1039788</v>
      </c>
      <c r="S5" s="132">
        <v>30729848</v>
      </c>
      <c r="T5" s="132">
        <v>30184854</v>
      </c>
      <c r="U5" s="132">
        <v>3084531</v>
      </c>
      <c r="V5" s="132">
        <v>23180845</v>
      </c>
      <c r="W5" s="132">
        <v>26733729</v>
      </c>
      <c r="X5" s="132">
        <v>5075773</v>
      </c>
      <c r="Y5" s="132">
        <v>2991653</v>
      </c>
      <c r="Z5" s="132">
        <v>4071732</v>
      </c>
      <c r="AA5" s="132">
        <v>6012913</v>
      </c>
      <c r="AB5" s="132">
        <v>157679</v>
      </c>
      <c r="AC5" s="167">
        <f t="shared" si="12"/>
        <v>137579293</v>
      </c>
    </row>
    <row r="6" spans="1:29" x14ac:dyDescent="0.15">
      <c r="A6" s="134" t="str">
        <f t="shared" si="13"/>
        <v>2019-01</v>
      </c>
      <c r="B6" s="133">
        <f t="shared" si="14"/>
        <v>6.0388200000000003</v>
      </c>
      <c r="C6" s="133">
        <f t="shared" si="0"/>
        <v>0.68890399999999996</v>
      </c>
      <c r="D6" s="133">
        <f t="shared" si="1"/>
        <v>29.52319</v>
      </c>
      <c r="E6" s="133">
        <f t="shared" si="2"/>
        <v>27.285772999999999</v>
      </c>
      <c r="F6" s="133">
        <f t="shared" si="3"/>
        <v>6.2680119999999997</v>
      </c>
      <c r="G6" s="133">
        <f t="shared" si="4"/>
        <v>25.783221000000001</v>
      </c>
      <c r="H6" s="133">
        <f t="shared" si="5"/>
        <v>31.350726999999999</v>
      </c>
      <c r="I6" s="133">
        <f t="shared" si="6"/>
        <v>6.7168780000000003</v>
      </c>
      <c r="J6" s="133">
        <f t="shared" si="7"/>
        <v>4.3379279999999998</v>
      </c>
      <c r="K6" s="133">
        <f t="shared" si="8"/>
        <v>3.514078</v>
      </c>
      <c r="L6" s="133">
        <f t="shared" si="9"/>
        <v>10.938907</v>
      </c>
      <c r="M6" s="133">
        <f t="shared" si="10"/>
        <v>9.7606999999999999E-2</v>
      </c>
      <c r="N6" s="133">
        <f t="shared" si="11"/>
        <v>152.54404500000004</v>
      </c>
      <c r="P6" s="131" t="s">
        <v>137</v>
      </c>
      <c r="Q6" s="132">
        <v>6038820</v>
      </c>
      <c r="R6" s="132">
        <v>688904</v>
      </c>
      <c r="S6" s="132">
        <v>29523190</v>
      </c>
      <c r="T6" s="132">
        <v>27285773</v>
      </c>
      <c r="U6" s="132">
        <v>6268012</v>
      </c>
      <c r="V6" s="132">
        <v>25783221</v>
      </c>
      <c r="W6" s="132">
        <v>31350727</v>
      </c>
      <c r="X6" s="132">
        <v>6716878</v>
      </c>
      <c r="Y6" s="132">
        <v>4337928</v>
      </c>
      <c r="Z6" s="132">
        <v>3514078</v>
      </c>
      <c r="AA6" s="132">
        <v>10938907</v>
      </c>
      <c r="AB6" s="132">
        <v>97607</v>
      </c>
      <c r="AC6" s="167">
        <f t="shared" si="12"/>
        <v>152544045</v>
      </c>
    </row>
    <row r="7" spans="1:29" x14ac:dyDescent="0.15">
      <c r="A7" s="134" t="str">
        <f t="shared" si="13"/>
        <v>2019-02</v>
      </c>
      <c r="B7" s="133">
        <f t="shared" si="14"/>
        <v>3.812767</v>
      </c>
      <c r="C7" s="133">
        <f t="shared" si="0"/>
        <v>1.824514</v>
      </c>
      <c r="D7" s="133">
        <f t="shared" si="1"/>
        <v>26.510421000000001</v>
      </c>
      <c r="E7" s="133">
        <f t="shared" si="2"/>
        <v>24.919449</v>
      </c>
      <c r="F7" s="133">
        <f t="shared" si="3"/>
        <v>5.1681010000000001</v>
      </c>
      <c r="G7" s="133">
        <f t="shared" si="4"/>
        <v>27.205704999999998</v>
      </c>
      <c r="H7" s="133">
        <f t="shared" si="5"/>
        <v>30.753834999999999</v>
      </c>
      <c r="I7" s="133">
        <f t="shared" si="6"/>
        <v>4.0587749999999998</v>
      </c>
      <c r="J7" s="133">
        <f t="shared" si="7"/>
        <v>3.6563629999999998</v>
      </c>
      <c r="K7" s="133">
        <f t="shared" si="8"/>
        <v>2.9590619999999999</v>
      </c>
      <c r="L7" s="133">
        <f t="shared" si="9"/>
        <v>4.49993</v>
      </c>
      <c r="M7" s="133">
        <f t="shared" si="10"/>
        <v>9.4142000000000003E-2</v>
      </c>
      <c r="N7" s="133">
        <f t="shared" si="11"/>
        <v>135.463064</v>
      </c>
      <c r="P7" s="131" t="s">
        <v>138</v>
      </c>
      <c r="Q7" s="132">
        <v>3812767</v>
      </c>
      <c r="R7" s="132">
        <v>1824514</v>
      </c>
      <c r="S7" s="132">
        <v>26510421</v>
      </c>
      <c r="T7" s="132">
        <v>24919449</v>
      </c>
      <c r="U7" s="132">
        <v>5168101</v>
      </c>
      <c r="V7" s="132">
        <v>27205705</v>
      </c>
      <c r="W7" s="132">
        <v>30753835</v>
      </c>
      <c r="X7" s="132">
        <v>4058775</v>
      </c>
      <c r="Y7" s="132">
        <v>3656363</v>
      </c>
      <c r="Z7" s="132">
        <v>2959062</v>
      </c>
      <c r="AA7" s="132">
        <v>4499930</v>
      </c>
      <c r="AB7" s="132">
        <v>94142</v>
      </c>
      <c r="AC7" s="167">
        <f t="shared" si="12"/>
        <v>135463064</v>
      </c>
    </row>
    <row r="8" spans="1:29" x14ac:dyDescent="0.15">
      <c r="A8" s="134" t="str">
        <f t="shared" si="13"/>
        <v>2019-03</v>
      </c>
      <c r="B8" s="133">
        <f t="shared" si="14"/>
        <v>5.6882450000000002</v>
      </c>
      <c r="C8" s="133">
        <f t="shared" si="0"/>
        <v>2.545309</v>
      </c>
      <c r="D8" s="133">
        <f t="shared" si="1"/>
        <v>36.0047</v>
      </c>
      <c r="E8" s="133">
        <f t="shared" si="2"/>
        <v>51.461621999999998</v>
      </c>
      <c r="F8" s="133">
        <f t="shared" si="3"/>
        <v>6.3374819999999996</v>
      </c>
      <c r="G8" s="133">
        <f t="shared" si="4"/>
        <v>24.87323</v>
      </c>
      <c r="H8" s="133">
        <f t="shared" si="5"/>
        <v>28.509111999999998</v>
      </c>
      <c r="I8" s="133">
        <f t="shared" si="6"/>
        <v>6.0836759999999996</v>
      </c>
      <c r="J8" s="133">
        <f t="shared" si="7"/>
        <v>3.520448</v>
      </c>
      <c r="K8" s="133">
        <f t="shared" si="8"/>
        <v>2.4144589999999999</v>
      </c>
      <c r="L8" s="133">
        <f t="shared" si="9"/>
        <v>4.0351559999999997</v>
      </c>
      <c r="M8" s="133">
        <f t="shared" si="10"/>
        <v>9.9573999999999996E-2</v>
      </c>
      <c r="N8" s="133">
        <f t="shared" si="11"/>
        <v>171.57301299999995</v>
      </c>
      <c r="P8" s="131" t="s">
        <v>139</v>
      </c>
      <c r="Q8" s="132">
        <v>5688245</v>
      </c>
      <c r="R8" s="132">
        <v>2545309</v>
      </c>
      <c r="S8" s="132">
        <v>36004700</v>
      </c>
      <c r="T8" s="132">
        <v>51461622</v>
      </c>
      <c r="U8" s="132">
        <v>6337482</v>
      </c>
      <c r="V8" s="132">
        <v>24873230</v>
      </c>
      <c r="W8" s="132">
        <v>28509112</v>
      </c>
      <c r="X8" s="132">
        <v>6083676</v>
      </c>
      <c r="Y8" s="132">
        <v>3520448</v>
      </c>
      <c r="Z8" s="132">
        <v>2414459</v>
      </c>
      <c r="AA8" s="132">
        <v>4035156</v>
      </c>
      <c r="AB8" s="132">
        <v>99574</v>
      </c>
      <c r="AC8" s="167">
        <f t="shared" si="12"/>
        <v>171573013</v>
      </c>
    </row>
    <row r="9" spans="1:29" x14ac:dyDescent="0.15">
      <c r="A9" s="134" t="str">
        <f t="shared" si="13"/>
        <v>2019-04</v>
      </c>
      <c r="B9" s="133">
        <f t="shared" si="14"/>
        <v>2.1262590000000001</v>
      </c>
      <c r="C9" s="133">
        <f t="shared" si="0"/>
        <v>4.2834070000000004</v>
      </c>
      <c r="D9" s="133">
        <f t="shared" si="1"/>
        <v>26.863332</v>
      </c>
      <c r="E9" s="133">
        <f t="shared" si="2"/>
        <v>41.244118</v>
      </c>
      <c r="F9" s="133">
        <f t="shared" si="3"/>
        <v>5.2518209999999996</v>
      </c>
      <c r="G9" s="133">
        <f t="shared" si="4"/>
        <v>25.917221999999999</v>
      </c>
      <c r="H9" s="133">
        <f t="shared" si="5"/>
        <v>28.147957000000002</v>
      </c>
      <c r="I9" s="133">
        <f t="shared" si="6"/>
        <v>4.7834130000000004</v>
      </c>
      <c r="J9" s="133">
        <f t="shared" si="7"/>
        <v>3.1204160000000001</v>
      </c>
      <c r="K9" s="133">
        <f t="shared" si="8"/>
        <v>2.8697240000000002</v>
      </c>
      <c r="L9" s="133">
        <f t="shared" si="9"/>
        <v>7.8043230000000001</v>
      </c>
      <c r="M9" s="133">
        <f t="shared" si="10"/>
        <v>0.144264</v>
      </c>
      <c r="N9" s="133">
        <f t="shared" si="11"/>
        <v>152.55625599999999</v>
      </c>
      <c r="P9" s="131" t="s">
        <v>140</v>
      </c>
      <c r="Q9" s="132">
        <v>2126259</v>
      </c>
      <c r="R9" s="132">
        <v>4283407</v>
      </c>
      <c r="S9" s="132">
        <v>26863332</v>
      </c>
      <c r="T9" s="132">
        <v>41244118</v>
      </c>
      <c r="U9" s="132">
        <v>5251821</v>
      </c>
      <c r="V9" s="132">
        <v>25917222</v>
      </c>
      <c r="W9" s="132">
        <v>28147957</v>
      </c>
      <c r="X9" s="132">
        <v>4783413</v>
      </c>
      <c r="Y9" s="132">
        <v>3120416</v>
      </c>
      <c r="Z9" s="132">
        <v>2869724</v>
      </c>
      <c r="AA9" s="132">
        <v>7804323</v>
      </c>
      <c r="AB9" s="132">
        <v>144264</v>
      </c>
      <c r="AC9" s="167">
        <f t="shared" si="12"/>
        <v>152556256</v>
      </c>
    </row>
    <row r="10" spans="1:29" x14ac:dyDescent="0.15">
      <c r="A10" s="134" t="str">
        <f t="shared" si="13"/>
        <v>2019-05</v>
      </c>
      <c r="B10" s="133">
        <f t="shared" si="14"/>
        <v>2.2043819999999998</v>
      </c>
      <c r="C10" s="133">
        <f t="shared" si="0"/>
        <v>7.7754120000000002</v>
      </c>
      <c r="D10" s="133">
        <f t="shared" si="1"/>
        <v>27.892088000000001</v>
      </c>
      <c r="E10" s="133">
        <f t="shared" si="2"/>
        <v>33.842821999999998</v>
      </c>
      <c r="F10" s="133">
        <f t="shared" si="3"/>
        <v>6.0212750000000002</v>
      </c>
      <c r="G10" s="133">
        <f t="shared" si="4"/>
        <v>24.378122999999999</v>
      </c>
      <c r="H10" s="133">
        <f t="shared" si="5"/>
        <v>31.206406999999999</v>
      </c>
      <c r="I10" s="133">
        <f t="shared" si="6"/>
        <v>5.5146220000000001</v>
      </c>
      <c r="J10" s="133">
        <f t="shared" si="7"/>
        <v>2.6511179999999999</v>
      </c>
      <c r="K10" s="133">
        <f t="shared" si="8"/>
        <v>3.0015740000000002</v>
      </c>
      <c r="L10" s="133">
        <f t="shared" si="9"/>
        <v>4.8282860000000003</v>
      </c>
      <c r="M10" s="133">
        <f t="shared" si="10"/>
        <v>0.11587799999999999</v>
      </c>
      <c r="N10" s="133">
        <f t="shared" si="11"/>
        <v>149.43198700000002</v>
      </c>
      <c r="P10" s="131" t="s">
        <v>141</v>
      </c>
      <c r="Q10" s="132">
        <v>2204382</v>
      </c>
      <c r="R10" s="132">
        <v>7775412</v>
      </c>
      <c r="S10" s="132">
        <v>27892088</v>
      </c>
      <c r="T10" s="132">
        <v>33842822</v>
      </c>
      <c r="U10" s="132">
        <v>6021275</v>
      </c>
      <c r="V10" s="132">
        <v>24378123</v>
      </c>
      <c r="W10" s="132">
        <v>31206407</v>
      </c>
      <c r="X10" s="132">
        <v>5514622</v>
      </c>
      <c r="Y10" s="132">
        <v>2651118</v>
      </c>
      <c r="Z10" s="132">
        <v>3001574</v>
      </c>
      <c r="AA10" s="132">
        <v>4828286</v>
      </c>
      <c r="AB10" s="132">
        <v>115878</v>
      </c>
      <c r="AC10" s="167">
        <f t="shared" si="12"/>
        <v>149431987</v>
      </c>
    </row>
    <row r="11" spans="1:29" x14ac:dyDescent="0.15">
      <c r="A11" s="134" t="str">
        <f t="shared" si="13"/>
        <v>2019-06</v>
      </c>
      <c r="B11" s="133">
        <f t="shared" si="14"/>
        <v>1.533514</v>
      </c>
      <c r="C11" s="133">
        <f t="shared" si="0"/>
        <v>2.3647420000000001</v>
      </c>
      <c r="D11" s="133">
        <f t="shared" si="1"/>
        <v>24.676036</v>
      </c>
      <c r="E11" s="133">
        <f t="shared" si="2"/>
        <v>32.309102000000003</v>
      </c>
      <c r="F11" s="133">
        <f t="shared" si="3"/>
        <v>5.1129680000000004</v>
      </c>
      <c r="G11" s="133">
        <f t="shared" si="4"/>
        <v>19.810092999999998</v>
      </c>
      <c r="H11" s="133">
        <f t="shared" si="5"/>
        <v>25.098924</v>
      </c>
      <c r="I11" s="133">
        <f t="shared" si="6"/>
        <v>5.3123899999999997</v>
      </c>
      <c r="J11" s="133">
        <f t="shared" si="7"/>
        <v>2.4629690000000002</v>
      </c>
      <c r="K11" s="133">
        <f t="shared" si="8"/>
        <v>6.3494429999999999</v>
      </c>
      <c r="L11" s="133">
        <f t="shared" si="9"/>
        <v>4.7534020000000003</v>
      </c>
      <c r="M11" s="133">
        <f t="shared" si="10"/>
        <v>0.101586</v>
      </c>
      <c r="N11" s="133">
        <f t="shared" si="11"/>
        <v>129.88516899999999</v>
      </c>
      <c r="P11" s="131" t="s">
        <v>142</v>
      </c>
      <c r="Q11" s="132">
        <v>1533514</v>
      </c>
      <c r="R11" s="132">
        <v>2364742</v>
      </c>
      <c r="S11" s="132">
        <v>24676036</v>
      </c>
      <c r="T11" s="132">
        <v>32309102</v>
      </c>
      <c r="U11" s="132">
        <v>5112968</v>
      </c>
      <c r="V11" s="132">
        <v>19810093</v>
      </c>
      <c r="W11" s="132">
        <v>25098924</v>
      </c>
      <c r="X11" s="132">
        <v>5312390</v>
      </c>
      <c r="Y11" s="132">
        <v>2462969</v>
      </c>
      <c r="Z11" s="132">
        <v>6349443</v>
      </c>
      <c r="AA11" s="132">
        <v>4753402</v>
      </c>
      <c r="AB11" s="132">
        <v>101586</v>
      </c>
      <c r="AC11" s="167">
        <f t="shared" si="12"/>
        <v>129885169</v>
      </c>
    </row>
    <row r="12" spans="1:29" x14ac:dyDescent="0.15">
      <c r="A12" s="134" t="str">
        <f t="shared" si="13"/>
        <v>2019-07</v>
      </c>
      <c r="B12" s="133">
        <f t="shared" si="14"/>
        <v>1.8552660000000001</v>
      </c>
      <c r="C12" s="133">
        <f t="shared" si="0"/>
        <v>2.4005160000000001</v>
      </c>
      <c r="D12" s="133">
        <f t="shared" si="1"/>
        <v>31.489826999999998</v>
      </c>
      <c r="E12" s="133">
        <f t="shared" si="2"/>
        <v>36.538896999999999</v>
      </c>
      <c r="F12" s="133">
        <f t="shared" si="3"/>
        <v>8.3865820000000006</v>
      </c>
      <c r="G12" s="133">
        <f t="shared" si="4"/>
        <v>18.944078999999999</v>
      </c>
      <c r="H12" s="133">
        <f t="shared" si="5"/>
        <v>23.56626</v>
      </c>
      <c r="I12" s="133">
        <f t="shared" si="6"/>
        <v>5.0760360000000002</v>
      </c>
      <c r="J12" s="133">
        <f t="shared" si="7"/>
        <v>3.9187590000000001</v>
      </c>
      <c r="K12" s="133">
        <f t="shared" si="8"/>
        <v>8.2959770000000006</v>
      </c>
      <c r="L12" s="133">
        <f t="shared" si="9"/>
        <v>3.4442919999999999</v>
      </c>
      <c r="M12" s="133">
        <f t="shared" si="10"/>
        <v>9.9358000000000002E-2</v>
      </c>
      <c r="N12" s="133">
        <f t="shared" si="11"/>
        <v>144.01584899999997</v>
      </c>
      <c r="P12" s="131" t="s">
        <v>143</v>
      </c>
      <c r="Q12" s="132">
        <v>1855266</v>
      </c>
      <c r="R12" s="132">
        <v>2400516</v>
      </c>
      <c r="S12" s="132">
        <v>31489827</v>
      </c>
      <c r="T12" s="132">
        <v>36538897</v>
      </c>
      <c r="U12" s="132">
        <v>8386582</v>
      </c>
      <c r="V12" s="132">
        <v>18944079</v>
      </c>
      <c r="W12" s="132">
        <v>23566260</v>
      </c>
      <c r="X12" s="132">
        <v>5076036</v>
      </c>
      <c r="Y12" s="132">
        <v>3918759</v>
      </c>
      <c r="Z12" s="132">
        <v>8295977</v>
      </c>
      <c r="AA12" s="132">
        <v>3444292</v>
      </c>
      <c r="AB12" s="132">
        <v>99358</v>
      </c>
      <c r="AC12" s="167">
        <f t="shared" si="12"/>
        <v>144015849</v>
      </c>
    </row>
    <row r="13" spans="1:29" x14ac:dyDescent="0.15">
      <c r="A13" s="134" t="str">
        <f t="shared" si="13"/>
        <v>2019-08</v>
      </c>
      <c r="B13" s="133">
        <f t="shared" si="14"/>
        <v>1.0572680000000001</v>
      </c>
      <c r="C13" s="133">
        <f t="shared" si="0"/>
        <v>3.4005860000000001</v>
      </c>
      <c r="D13" s="133">
        <f t="shared" si="1"/>
        <v>43.637464999999999</v>
      </c>
      <c r="E13" s="133">
        <f t="shared" si="2"/>
        <v>33.952359999999999</v>
      </c>
      <c r="F13" s="133">
        <f t="shared" si="3"/>
        <v>8.4650230000000004</v>
      </c>
      <c r="G13" s="133">
        <f t="shared" si="4"/>
        <v>18.326671999999999</v>
      </c>
      <c r="H13" s="133">
        <f t="shared" si="5"/>
        <v>21.173575</v>
      </c>
      <c r="I13" s="133">
        <f t="shared" si="6"/>
        <v>3.260621</v>
      </c>
      <c r="J13" s="133">
        <f t="shared" si="7"/>
        <v>3.718979</v>
      </c>
      <c r="K13" s="133">
        <f t="shared" si="8"/>
        <v>7.8992500000000003</v>
      </c>
      <c r="L13" s="133">
        <f t="shared" si="9"/>
        <v>5.5769500000000001</v>
      </c>
      <c r="M13" s="133">
        <f t="shared" si="10"/>
        <v>8.4520999999999999E-2</v>
      </c>
      <c r="N13" s="133">
        <f t="shared" si="11"/>
        <v>150.55326999999997</v>
      </c>
      <c r="P13" s="131" t="s">
        <v>144</v>
      </c>
      <c r="Q13" s="132">
        <v>1057268</v>
      </c>
      <c r="R13" s="132">
        <v>3400586</v>
      </c>
      <c r="S13" s="132">
        <v>43637465</v>
      </c>
      <c r="T13" s="132">
        <v>33952360</v>
      </c>
      <c r="U13" s="132">
        <v>8465023</v>
      </c>
      <c r="V13" s="132">
        <v>18326672</v>
      </c>
      <c r="W13" s="132">
        <v>21173575</v>
      </c>
      <c r="X13" s="132">
        <v>3260621</v>
      </c>
      <c r="Y13" s="132">
        <v>3718979</v>
      </c>
      <c r="Z13" s="132">
        <v>7899250</v>
      </c>
      <c r="AA13" s="132">
        <v>5576950</v>
      </c>
      <c r="AB13" s="132">
        <v>84521</v>
      </c>
      <c r="AC13" s="167">
        <f t="shared" si="12"/>
        <v>150553270</v>
      </c>
    </row>
    <row r="14" spans="1:29" x14ac:dyDescent="0.15">
      <c r="A14" s="134" t="str">
        <f t="shared" si="13"/>
        <v>2019-09</v>
      </c>
      <c r="B14" s="133">
        <f t="shared" si="14"/>
        <v>2.4219909999999998</v>
      </c>
      <c r="C14" s="133">
        <f t="shared" si="0"/>
        <v>4.1740719999999998</v>
      </c>
      <c r="D14" s="133">
        <f t="shared" si="1"/>
        <v>29.340848999999999</v>
      </c>
      <c r="E14" s="133">
        <f t="shared" si="2"/>
        <v>42.074618000000001</v>
      </c>
      <c r="F14" s="133">
        <f t="shared" si="3"/>
        <v>9.4522919999999999</v>
      </c>
      <c r="G14" s="133">
        <f t="shared" si="4"/>
        <v>26.320792999999998</v>
      </c>
      <c r="H14" s="133">
        <f t="shared" si="5"/>
        <v>31.474015999999999</v>
      </c>
      <c r="I14" s="133">
        <f t="shared" si="6"/>
        <v>4.3148</v>
      </c>
      <c r="J14" s="133">
        <f t="shared" si="7"/>
        <v>3.6333859999999998</v>
      </c>
      <c r="K14" s="133">
        <f t="shared" si="8"/>
        <v>3.7676859999999999</v>
      </c>
      <c r="L14" s="133">
        <f t="shared" si="9"/>
        <v>5.7344359999999996</v>
      </c>
      <c r="M14" s="133">
        <f t="shared" si="10"/>
        <v>9.1533000000000003E-2</v>
      </c>
      <c r="N14" s="133">
        <f t="shared" si="11"/>
        <v>162.80047199999996</v>
      </c>
      <c r="P14" s="131" t="s">
        <v>145</v>
      </c>
      <c r="Q14" s="132">
        <v>2421991</v>
      </c>
      <c r="R14" s="132">
        <v>4174072</v>
      </c>
      <c r="S14" s="132">
        <v>29340849</v>
      </c>
      <c r="T14" s="132">
        <v>42074618</v>
      </c>
      <c r="U14" s="132">
        <v>9452292</v>
      </c>
      <c r="V14" s="132">
        <v>26320793</v>
      </c>
      <c r="W14" s="132">
        <v>31474016</v>
      </c>
      <c r="X14" s="132">
        <v>4314800</v>
      </c>
      <c r="Y14" s="132">
        <v>3633386</v>
      </c>
      <c r="Z14" s="132">
        <v>3767686</v>
      </c>
      <c r="AA14" s="132">
        <v>5734436</v>
      </c>
      <c r="AB14" s="132">
        <v>91533</v>
      </c>
      <c r="AC14" s="167">
        <f t="shared" si="12"/>
        <v>162800472</v>
      </c>
    </row>
    <row r="15" spans="1:29" x14ac:dyDescent="0.15">
      <c r="A15" s="135" t="s">
        <v>17</v>
      </c>
      <c r="B15" s="133">
        <f>SUM(B3:B14)</f>
        <v>36.577518999999995</v>
      </c>
      <c r="C15" s="133">
        <f t="shared" ref="C15:M15" si="15">SUM(C3:C14)</f>
        <v>31.991156</v>
      </c>
      <c r="D15" s="133">
        <f t="shared" si="15"/>
        <v>390.72035200000005</v>
      </c>
      <c r="E15" s="133">
        <f t="shared" si="15"/>
        <v>408.14651100000003</v>
      </c>
      <c r="F15" s="133">
        <f t="shared" si="15"/>
        <v>76.927701000000013</v>
      </c>
      <c r="G15" s="133">
        <f t="shared" si="15"/>
        <v>276.07118399999996</v>
      </c>
      <c r="H15" s="133">
        <f t="shared" si="15"/>
        <v>371.42471999999998</v>
      </c>
      <c r="I15" s="133">
        <f t="shared" si="15"/>
        <v>68.86139</v>
      </c>
      <c r="J15" s="133">
        <f t="shared" si="15"/>
        <v>38.363185000000001</v>
      </c>
      <c r="K15" s="133">
        <f t="shared" si="15"/>
        <v>52.227104000000004</v>
      </c>
      <c r="L15" s="133">
        <f t="shared" si="15"/>
        <v>68.885911000000007</v>
      </c>
      <c r="M15" s="133">
        <f t="shared" si="15"/>
        <v>1.3879220000000001</v>
      </c>
      <c r="N15" s="133">
        <f t="shared" si="11"/>
        <v>1821.5846549999999</v>
      </c>
      <c r="P15" s="135" t="s">
        <v>17</v>
      </c>
      <c r="Q15" s="167">
        <f t="shared" ref="Q15:AC15" si="16">SUM(Q3:Q14)</f>
        <v>36577519</v>
      </c>
      <c r="R15" s="167">
        <f t="shared" si="16"/>
        <v>31991156</v>
      </c>
      <c r="S15" s="167">
        <f t="shared" si="16"/>
        <v>390720352</v>
      </c>
      <c r="T15" s="167">
        <f t="shared" si="16"/>
        <v>408146511</v>
      </c>
      <c r="U15" s="167">
        <f t="shared" si="16"/>
        <v>76927701</v>
      </c>
      <c r="V15" s="167">
        <f t="shared" si="16"/>
        <v>276071184</v>
      </c>
      <c r="W15" s="167">
        <f t="shared" si="16"/>
        <v>371424720</v>
      </c>
      <c r="X15" s="167">
        <f t="shared" si="16"/>
        <v>68861390</v>
      </c>
      <c r="Y15" s="167">
        <f t="shared" si="16"/>
        <v>38363185</v>
      </c>
      <c r="Z15" s="167">
        <f t="shared" si="16"/>
        <v>52227104</v>
      </c>
      <c r="AA15" s="167">
        <f t="shared" si="16"/>
        <v>68885911</v>
      </c>
      <c r="AB15" s="167">
        <f t="shared" si="16"/>
        <v>1387922</v>
      </c>
      <c r="AC15" s="167">
        <f t="shared" si="16"/>
        <v>1821584655</v>
      </c>
    </row>
    <row r="16" spans="1:29" x14ac:dyDescent="0.15">
      <c r="A16" s="137" t="s">
        <v>31</v>
      </c>
      <c r="B16" s="136">
        <f>AVERAGE(B3:B14)</f>
        <v>3.0481265833333331</v>
      </c>
      <c r="C16" s="136">
        <f t="shared" ref="C16:M16" si="17">AVERAGE(C3:C14)</f>
        <v>2.6659296666666665</v>
      </c>
      <c r="D16" s="136">
        <f t="shared" si="17"/>
        <v>32.56002933333334</v>
      </c>
      <c r="E16" s="136">
        <f t="shared" si="17"/>
        <v>34.012209250000005</v>
      </c>
      <c r="F16" s="136">
        <f t="shared" si="17"/>
        <v>6.4106417500000008</v>
      </c>
      <c r="G16" s="136">
        <f t="shared" si="17"/>
        <v>23.005931999999998</v>
      </c>
      <c r="H16" s="136">
        <f t="shared" si="17"/>
        <v>30.952059999999999</v>
      </c>
      <c r="I16" s="136">
        <f t="shared" si="17"/>
        <v>5.7384491666666664</v>
      </c>
      <c r="J16" s="136">
        <f t="shared" si="17"/>
        <v>3.1969320833333335</v>
      </c>
      <c r="K16" s="136">
        <f t="shared" si="17"/>
        <v>4.3522586666666667</v>
      </c>
      <c r="L16" s="136">
        <f t="shared" si="17"/>
        <v>5.7404925833333342</v>
      </c>
      <c r="M16" s="136">
        <f t="shared" si="17"/>
        <v>0.11566016666666668</v>
      </c>
      <c r="N16" s="280"/>
    </row>
    <row r="17" spans="1:16" x14ac:dyDescent="0.15">
      <c r="A17" s="228" t="s">
        <v>146</v>
      </c>
      <c r="B17" s="225">
        <v>26.575334999999999</v>
      </c>
      <c r="C17" s="225">
        <v>11.235903</v>
      </c>
      <c r="D17" s="225">
        <v>348.31492200000002</v>
      </c>
      <c r="E17" s="225">
        <v>297.73108400000001</v>
      </c>
      <c r="F17" s="225">
        <v>7.1144410000000002</v>
      </c>
      <c r="G17" s="225">
        <v>249.38378800000001</v>
      </c>
      <c r="H17" s="225">
        <v>239.952279</v>
      </c>
      <c r="I17" s="225">
        <v>157.13142500000001</v>
      </c>
      <c r="J17" s="225">
        <v>55.382038000000001</v>
      </c>
      <c r="K17" s="225">
        <v>34.901304000000003</v>
      </c>
      <c r="L17" s="225">
        <v>48.444204999999997</v>
      </c>
      <c r="M17" s="225">
        <v>0.89733200000000002</v>
      </c>
      <c r="N17" s="133">
        <f>SUM(B17:M17)</f>
        <v>1477.0640560000002</v>
      </c>
      <c r="P17" s="35" t="s">
        <v>169</v>
      </c>
    </row>
    <row r="19" spans="1:16" x14ac:dyDescent="0.15">
      <c r="B19" s="357" t="s">
        <v>32</v>
      </c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</row>
    <row r="20" spans="1:16" ht="28" x14ac:dyDescent="0.15">
      <c r="A20" s="71" t="s">
        <v>18</v>
      </c>
      <c r="B20" s="215" t="s">
        <v>5</v>
      </c>
      <c r="C20" s="215" t="s">
        <v>6</v>
      </c>
      <c r="D20" s="215" t="s">
        <v>7</v>
      </c>
      <c r="E20" s="215" t="s">
        <v>8</v>
      </c>
      <c r="F20" s="215" t="s">
        <v>9</v>
      </c>
      <c r="G20" s="72" t="s">
        <v>16</v>
      </c>
      <c r="H20" s="216" t="s">
        <v>133</v>
      </c>
      <c r="I20" s="72" t="s">
        <v>10</v>
      </c>
      <c r="J20" s="72" t="s">
        <v>19</v>
      </c>
      <c r="K20" s="72" t="s">
        <v>11</v>
      </c>
      <c r="L20" s="72" t="s">
        <v>14</v>
      </c>
      <c r="M20" s="72" t="s">
        <v>12</v>
      </c>
    </row>
    <row r="21" spans="1:16" x14ac:dyDescent="0.15">
      <c r="A21" s="217">
        <v>43374</v>
      </c>
      <c r="B21" s="218">
        <f t="shared" ref="B21:B32" si="18">B3-B$16</f>
        <v>-0.10981258333333299</v>
      </c>
      <c r="C21" s="218">
        <f t="shared" ref="C21:M21" si="19">C3-C$16</f>
        <v>-1.9608726666666665</v>
      </c>
      <c r="D21" s="218">
        <f t="shared" si="19"/>
        <v>7.9957476666666594</v>
      </c>
      <c r="E21" s="218">
        <f t="shared" si="19"/>
        <v>-7.7461912500000061</v>
      </c>
      <c r="F21" s="218">
        <f t="shared" si="19"/>
        <v>1.1494332499999995</v>
      </c>
      <c r="G21" s="218">
        <f t="shared" si="19"/>
        <v>-1.8072049999999962</v>
      </c>
      <c r="H21" s="218">
        <f t="shared" si="19"/>
        <v>20.652727000000002</v>
      </c>
      <c r="I21" s="218">
        <f t="shared" si="19"/>
        <v>6.5194038333333344</v>
      </c>
      <c r="J21" s="218">
        <f t="shared" si="19"/>
        <v>-1.2715940833333335</v>
      </c>
      <c r="K21" s="218">
        <f t="shared" si="19"/>
        <v>0.30210633333333359</v>
      </c>
      <c r="L21" s="218">
        <f t="shared" si="19"/>
        <v>0.36916841666666578</v>
      </c>
      <c r="M21" s="218">
        <f t="shared" si="19"/>
        <v>-6.5971666666666817E-3</v>
      </c>
      <c r="N21" s="14"/>
      <c r="O21" s="14"/>
    </row>
    <row r="22" spans="1:16" x14ac:dyDescent="0.15">
      <c r="A22" s="217">
        <v>43405</v>
      </c>
      <c r="B22" s="218">
        <f t="shared" si="18"/>
        <v>-0.46338158333333324</v>
      </c>
      <c r="C22" s="218">
        <f t="shared" ref="C22:M22" si="20">C4-C$16</f>
        <v>-1.8770806666666666</v>
      </c>
      <c r="D22" s="218">
        <f t="shared" si="20"/>
        <v>10.936789666666662</v>
      </c>
      <c r="E22" s="218">
        <f t="shared" si="20"/>
        <v>-5.945331250000006</v>
      </c>
      <c r="F22" s="218">
        <f t="shared" si="20"/>
        <v>-0.59110275000000101</v>
      </c>
      <c r="G22" s="218">
        <f t="shared" si="20"/>
        <v>-2.8734579999999994</v>
      </c>
      <c r="H22" s="218">
        <f t="shared" si="20"/>
        <v>10.853331000000001</v>
      </c>
      <c r="I22" s="218">
        <f t="shared" si="20"/>
        <v>0.66810383333333334</v>
      </c>
      <c r="J22" s="218">
        <f t="shared" si="20"/>
        <v>-0.77110408333333336</v>
      </c>
      <c r="K22" s="218">
        <f t="shared" si="20"/>
        <v>-1.9225046666666668</v>
      </c>
      <c r="L22" s="218">
        <f t="shared" si="20"/>
        <v>-0.59283758333333392</v>
      </c>
      <c r="M22" s="218">
        <f t="shared" si="20"/>
        <v>7.7056833333333324E-2</v>
      </c>
    </row>
    <row r="23" spans="1:16" x14ac:dyDescent="0.15">
      <c r="A23" s="217">
        <v>43435</v>
      </c>
      <c r="B23" s="218">
        <f t="shared" si="18"/>
        <v>1.2678214166666666</v>
      </c>
      <c r="C23" s="218">
        <f t="shared" ref="C23:M23" si="21">C5-C$16</f>
        <v>-1.6261416666666666</v>
      </c>
      <c r="D23" s="218">
        <f t="shared" si="21"/>
        <v>-1.8301813333333392</v>
      </c>
      <c r="E23" s="218">
        <f t="shared" si="21"/>
        <v>-3.8273552500000037</v>
      </c>
      <c r="F23" s="218">
        <f t="shared" si="21"/>
        <v>-3.3261107500000007</v>
      </c>
      <c r="G23" s="218">
        <f t="shared" si="21"/>
        <v>0.17491300000000365</v>
      </c>
      <c r="H23" s="218">
        <f t="shared" si="21"/>
        <v>-4.2183309999999992</v>
      </c>
      <c r="I23" s="218">
        <f t="shared" si="21"/>
        <v>-0.66267616666666651</v>
      </c>
      <c r="J23" s="218">
        <f t="shared" si="21"/>
        <v>-0.20527908333333356</v>
      </c>
      <c r="K23" s="218">
        <f t="shared" si="21"/>
        <v>-0.28052666666666681</v>
      </c>
      <c r="L23" s="218">
        <f t="shared" si="21"/>
        <v>0.27242041666666594</v>
      </c>
      <c r="M23" s="218">
        <f t="shared" si="21"/>
        <v>4.2018833333333339E-2</v>
      </c>
    </row>
    <row r="24" spans="1:16" x14ac:dyDescent="0.15">
      <c r="A24" s="217">
        <v>43466</v>
      </c>
      <c r="B24" s="218">
        <f t="shared" si="18"/>
        <v>2.9906934166666672</v>
      </c>
      <c r="C24" s="218">
        <f t="shared" ref="C24:M24" si="22">C6-C$16</f>
        <v>-1.9770256666666666</v>
      </c>
      <c r="D24" s="218">
        <f t="shared" si="22"/>
        <v>-3.0368393333333401</v>
      </c>
      <c r="E24" s="218">
        <f t="shared" si="22"/>
        <v>-6.7264362500000061</v>
      </c>
      <c r="F24" s="218">
        <f t="shared" si="22"/>
        <v>-0.14262975000000111</v>
      </c>
      <c r="G24" s="218">
        <f t="shared" si="22"/>
        <v>2.7772890000000032</v>
      </c>
      <c r="H24" s="218">
        <f t="shared" si="22"/>
        <v>0.39866699999999966</v>
      </c>
      <c r="I24" s="218">
        <f t="shared" si="22"/>
        <v>0.97842883333333397</v>
      </c>
      <c r="J24" s="218">
        <f t="shared" si="22"/>
        <v>1.1409959166666663</v>
      </c>
      <c r="K24" s="218">
        <f t="shared" si="22"/>
        <v>-0.83818066666666668</v>
      </c>
      <c r="L24" s="218">
        <f t="shared" si="22"/>
        <v>5.1984144166666661</v>
      </c>
      <c r="M24" s="218">
        <f t="shared" si="22"/>
        <v>-1.8053166666666676E-2</v>
      </c>
    </row>
    <row r="25" spans="1:16" x14ac:dyDescent="0.15">
      <c r="A25" s="217">
        <v>43497</v>
      </c>
      <c r="B25" s="218">
        <f t="shared" si="18"/>
        <v>0.76464041666666693</v>
      </c>
      <c r="C25" s="218">
        <f t="shared" ref="C25:M25" si="23">C7-C$16</f>
        <v>-0.84141566666666656</v>
      </c>
      <c r="D25" s="218">
        <f t="shared" si="23"/>
        <v>-6.0496083333333388</v>
      </c>
      <c r="E25" s="218">
        <f t="shared" si="23"/>
        <v>-9.0927602500000049</v>
      </c>
      <c r="F25" s="218">
        <f t="shared" si="23"/>
        <v>-1.2425407500000007</v>
      </c>
      <c r="G25" s="218">
        <f t="shared" si="23"/>
        <v>4.1997730000000004</v>
      </c>
      <c r="H25" s="218">
        <f t="shared" si="23"/>
        <v>-0.19822500000000076</v>
      </c>
      <c r="I25" s="218">
        <f t="shared" si="23"/>
        <v>-1.6796741666666666</v>
      </c>
      <c r="J25" s="218">
        <f t="shared" si="23"/>
        <v>0.45943091666666636</v>
      </c>
      <c r="K25" s="218">
        <f t="shared" si="23"/>
        <v>-1.3931966666666669</v>
      </c>
      <c r="L25" s="218">
        <f t="shared" si="23"/>
        <v>-1.2405625833333342</v>
      </c>
      <c r="M25" s="218">
        <f t="shared" si="23"/>
        <v>-2.1518166666666672E-2</v>
      </c>
    </row>
    <row r="26" spans="1:16" x14ac:dyDescent="0.15">
      <c r="A26" s="217">
        <v>43525</v>
      </c>
      <c r="B26" s="218">
        <f t="shared" si="18"/>
        <v>2.6401184166666671</v>
      </c>
      <c r="C26" s="218">
        <f t="shared" ref="C26:M26" si="24">C8-C$16</f>
        <v>-0.12062066666666649</v>
      </c>
      <c r="D26" s="218">
        <f t="shared" si="24"/>
        <v>3.44467066666666</v>
      </c>
      <c r="E26" s="218">
        <f t="shared" si="24"/>
        <v>17.449412749999993</v>
      </c>
      <c r="F26" s="218">
        <f t="shared" si="24"/>
        <v>-7.3159750000001189E-2</v>
      </c>
      <c r="G26" s="218">
        <f t="shared" si="24"/>
        <v>1.8672980000000017</v>
      </c>
      <c r="H26" s="218">
        <f t="shared" si="24"/>
        <v>-2.4429480000000012</v>
      </c>
      <c r="I26" s="218">
        <f t="shared" si="24"/>
        <v>0.34522683333333326</v>
      </c>
      <c r="J26" s="218">
        <f t="shared" si="24"/>
        <v>0.32351591666666657</v>
      </c>
      <c r="K26" s="218">
        <f t="shared" si="24"/>
        <v>-1.9377996666666668</v>
      </c>
      <c r="L26" s="218">
        <f t="shared" si="24"/>
        <v>-1.7053365833333345</v>
      </c>
      <c r="M26" s="218">
        <f t="shared" si="24"/>
        <v>-1.6086166666666679E-2</v>
      </c>
    </row>
    <row r="27" spans="1:16" x14ac:dyDescent="0.15">
      <c r="A27" s="217">
        <v>43556</v>
      </c>
      <c r="B27" s="218">
        <f t="shared" si="18"/>
        <v>-0.92186758333333296</v>
      </c>
      <c r="C27" s="218">
        <f t="shared" ref="C27:M27" si="25">C9-C$16</f>
        <v>1.6174773333333339</v>
      </c>
      <c r="D27" s="218">
        <f t="shared" si="25"/>
        <v>-5.6966973333333399</v>
      </c>
      <c r="E27" s="218">
        <f t="shared" si="25"/>
        <v>7.2319087499999952</v>
      </c>
      <c r="F27" s="218">
        <f t="shared" si="25"/>
        <v>-1.1588207500000012</v>
      </c>
      <c r="G27" s="218">
        <f t="shared" si="25"/>
        <v>2.911290000000001</v>
      </c>
      <c r="H27" s="218">
        <f t="shared" si="25"/>
        <v>-2.8041029999999978</v>
      </c>
      <c r="I27" s="218">
        <f t="shared" si="25"/>
        <v>-0.95503616666666602</v>
      </c>
      <c r="J27" s="218">
        <f t="shared" si="25"/>
        <v>-7.6516083333333373E-2</v>
      </c>
      <c r="K27" s="218">
        <f t="shared" si="25"/>
        <v>-1.4825346666666666</v>
      </c>
      <c r="L27" s="218">
        <f t="shared" si="25"/>
        <v>2.0638304166666659</v>
      </c>
      <c r="M27" s="218">
        <f t="shared" si="25"/>
        <v>2.8603833333333328E-2</v>
      </c>
    </row>
    <row r="28" spans="1:16" x14ac:dyDescent="0.15">
      <c r="A28" s="217">
        <v>43586</v>
      </c>
      <c r="B28" s="218">
        <f t="shared" si="18"/>
        <v>-0.84374458333333324</v>
      </c>
      <c r="C28" s="218">
        <f t="shared" ref="C28:M28" si="26">C10-C$16</f>
        <v>5.1094823333333341</v>
      </c>
      <c r="D28" s="218">
        <f t="shared" si="26"/>
        <v>-4.6679413333333386</v>
      </c>
      <c r="E28" s="218">
        <f t="shared" si="26"/>
        <v>-0.16938725000000687</v>
      </c>
      <c r="F28" s="218">
        <f t="shared" si="26"/>
        <v>-0.38936675000000065</v>
      </c>
      <c r="G28" s="218">
        <f t="shared" si="26"/>
        <v>1.3721910000000008</v>
      </c>
      <c r="H28" s="218">
        <f t="shared" si="26"/>
        <v>0.25434699999999921</v>
      </c>
      <c r="I28" s="218">
        <f t="shared" si="26"/>
        <v>-0.22382716666666624</v>
      </c>
      <c r="J28" s="218">
        <f t="shared" si="26"/>
        <v>-0.54581408333333359</v>
      </c>
      <c r="K28" s="218">
        <f t="shared" si="26"/>
        <v>-1.3506846666666665</v>
      </c>
      <c r="L28" s="218">
        <f t="shared" si="26"/>
        <v>-0.91220658333333393</v>
      </c>
      <c r="M28" s="218">
        <f t="shared" si="26"/>
        <v>2.1783333333331989E-4</v>
      </c>
    </row>
    <row r="29" spans="1:16" x14ac:dyDescent="0.15">
      <c r="A29" s="217">
        <v>43617</v>
      </c>
      <c r="B29" s="218">
        <f t="shared" si="18"/>
        <v>-1.514612583333333</v>
      </c>
      <c r="C29" s="218">
        <f t="shared" ref="C29:M29" si="27">C11-C$16</f>
        <v>-0.30118766666666641</v>
      </c>
      <c r="D29" s="218">
        <f t="shared" si="27"/>
        <v>-7.8839933333333398</v>
      </c>
      <c r="E29" s="218">
        <f t="shared" si="27"/>
        <v>-1.7031072500000022</v>
      </c>
      <c r="F29" s="218">
        <f t="shared" si="27"/>
        <v>-1.2976737500000004</v>
      </c>
      <c r="G29" s="218">
        <f t="shared" si="27"/>
        <v>-3.1958389999999994</v>
      </c>
      <c r="H29" s="218">
        <f t="shared" si="27"/>
        <v>-5.8531359999999992</v>
      </c>
      <c r="I29" s="218">
        <f t="shared" si="27"/>
        <v>-0.42605916666666666</v>
      </c>
      <c r="J29" s="218">
        <f t="shared" si="27"/>
        <v>-0.73396308333333327</v>
      </c>
      <c r="K29" s="218">
        <f t="shared" si="27"/>
        <v>1.9971843333333332</v>
      </c>
      <c r="L29" s="218">
        <f t="shared" si="27"/>
        <v>-0.98709058333333388</v>
      </c>
      <c r="M29" s="218">
        <f t="shared" si="27"/>
        <v>-1.4074166666666679E-2</v>
      </c>
    </row>
    <row r="30" spans="1:16" x14ac:dyDescent="0.15">
      <c r="A30" s="217">
        <v>43647</v>
      </c>
      <c r="B30" s="218">
        <f t="shared" si="18"/>
        <v>-1.192860583333333</v>
      </c>
      <c r="C30" s="218">
        <f t="shared" ref="C30:M30" si="28">C12-C$16</f>
        <v>-0.26541366666666644</v>
      </c>
      <c r="D30" s="218">
        <f t="shared" si="28"/>
        <v>-1.0702023333333415</v>
      </c>
      <c r="E30" s="218">
        <f t="shared" si="28"/>
        <v>2.5266877499999936</v>
      </c>
      <c r="F30" s="218">
        <f t="shared" si="28"/>
        <v>1.9759402499999998</v>
      </c>
      <c r="G30" s="218">
        <f t="shared" si="28"/>
        <v>-4.0618529999999993</v>
      </c>
      <c r="H30" s="218">
        <f t="shared" si="28"/>
        <v>-7.3857999999999997</v>
      </c>
      <c r="I30" s="218">
        <f t="shared" si="28"/>
        <v>-0.66241316666666616</v>
      </c>
      <c r="J30" s="218">
        <f t="shared" si="28"/>
        <v>0.72182691666666665</v>
      </c>
      <c r="K30" s="218">
        <f t="shared" si="28"/>
        <v>3.9437183333333339</v>
      </c>
      <c r="L30" s="218">
        <f t="shared" si="28"/>
        <v>-2.2962005833333343</v>
      </c>
      <c r="M30" s="218">
        <f t="shared" si="28"/>
        <v>-1.6302166666666673E-2</v>
      </c>
    </row>
    <row r="31" spans="1:16" x14ac:dyDescent="0.15">
      <c r="A31" s="217">
        <v>43678</v>
      </c>
      <c r="B31" s="218">
        <f t="shared" si="18"/>
        <v>-1.990858583333333</v>
      </c>
      <c r="C31" s="218">
        <f t="shared" ref="C31:M31" si="29">C13-C$16</f>
        <v>0.73465633333333358</v>
      </c>
      <c r="D31" s="218">
        <f t="shared" si="29"/>
        <v>11.077435666666659</v>
      </c>
      <c r="E31" s="218">
        <f t="shared" si="29"/>
        <v>-5.9849250000006293E-2</v>
      </c>
      <c r="F31" s="218">
        <f t="shared" si="29"/>
        <v>2.0543812499999996</v>
      </c>
      <c r="G31" s="218">
        <f t="shared" si="29"/>
        <v>-4.6792599999999993</v>
      </c>
      <c r="H31" s="218">
        <f t="shared" si="29"/>
        <v>-9.7784849999999999</v>
      </c>
      <c r="I31" s="218">
        <f t="shared" si="29"/>
        <v>-2.4778281666666664</v>
      </c>
      <c r="J31" s="218">
        <f t="shared" si="29"/>
        <v>0.52204691666666658</v>
      </c>
      <c r="K31" s="218">
        <f t="shared" si="29"/>
        <v>3.5469913333333336</v>
      </c>
      <c r="L31" s="218">
        <f t="shared" si="29"/>
        <v>-0.16354258333333416</v>
      </c>
      <c r="M31" s="218">
        <f t="shared" si="29"/>
        <v>-3.1139166666666676E-2</v>
      </c>
    </row>
    <row r="32" spans="1:16" x14ac:dyDescent="0.15">
      <c r="A32" s="217">
        <v>43709</v>
      </c>
      <c r="B32" s="218">
        <f t="shared" si="18"/>
        <v>-0.6261355833333333</v>
      </c>
      <c r="C32" s="218">
        <f t="shared" ref="C32:M32" si="30">C14-C$16</f>
        <v>1.5081423333333333</v>
      </c>
      <c r="D32" s="218">
        <f t="shared" si="30"/>
        <v>-3.2191803333333411</v>
      </c>
      <c r="E32" s="218">
        <f t="shared" si="30"/>
        <v>8.0624087499999959</v>
      </c>
      <c r="F32" s="218">
        <f t="shared" si="30"/>
        <v>3.0416502499999991</v>
      </c>
      <c r="G32" s="218">
        <f t="shared" si="30"/>
        <v>3.3148610000000005</v>
      </c>
      <c r="H32" s="218">
        <f t="shared" si="30"/>
        <v>0.52195599999999942</v>
      </c>
      <c r="I32" s="218">
        <f t="shared" si="30"/>
        <v>-1.4236491666666664</v>
      </c>
      <c r="J32" s="218">
        <f t="shared" si="30"/>
        <v>0.43645391666666633</v>
      </c>
      <c r="K32" s="218">
        <f t="shared" si="30"/>
        <v>-0.58457266666666685</v>
      </c>
      <c r="L32" s="218">
        <f t="shared" si="30"/>
        <v>-6.0565833333345864E-3</v>
      </c>
      <c r="M32" s="218">
        <f t="shared" si="30"/>
        <v>-2.4127166666666672E-2</v>
      </c>
    </row>
    <row r="33" spans="1:14" x14ac:dyDescent="0.15">
      <c r="A33" s="170" t="s">
        <v>13</v>
      </c>
      <c r="B33" s="219">
        <f>SUM(B21:B32)</f>
        <v>3.5527136788005009E-15</v>
      </c>
      <c r="C33" s="219">
        <f t="shared" ref="C33:M33" si="31">SUM(C21:C32)</f>
        <v>0</v>
      </c>
      <c r="D33" s="219">
        <f t="shared" si="31"/>
        <v>-7.815970093361102E-14</v>
      </c>
      <c r="E33" s="219">
        <f t="shared" si="31"/>
        <v>-6.3948846218409017E-14</v>
      </c>
      <c r="F33" s="219">
        <f t="shared" si="31"/>
        <v>-8.8817841970012523E-15</v>
      </c>
      <c r="G33" s="219">
        <f t="shared" si="31"/>
        <v>1.7763568394002505E-14</v>
      </c>
      <c r="H33" s="219">
        <f t="shared" si="31"/>
        <v>3.5527136788005009E-15</v>
      </c>
      <c r="I33" s="219">
        <f t="shared" si="31"/>
        <v>3.9968028886505635E-15</v>
      </c>
      <c r="J33" s="219">
        <f t="shared" si="31"/>
        <v>-1.7763568394002505E-15</v>
      </c>
      <c r="K33" s="219">
        <f t="shared" si="31"/>
        <v>1.3322676295501878E-15</v>
      </c>
      <c r="L33" s="219">
        <f t="shared" si="31"/>
        <v>-9.7699626167013776E-15</v>
      </c>
      <c r="M33" s="219">
        <f t="shared" si="31"/>
        <v>-9.7144514654701197E-17</v>
      </c>
    </row>
    <row r="34" spans="1:14" x14ac:dyDescent="0.15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</row>
    <row r="35" spans="1:14" x14ac:dyDescent="0.15">
      <c r="A35" s="220"/>
      <c r="B35" s="359" t="s">
        <v>33</v>
      </c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</row>
    <row r="36" spans="1:14" ht="28" x14ac:dyDescent="0.15">
      <c r="A36" s="170" t="s">
        <v>18</v>
      </c>
      <c r="B36" s="171" t="s">
        <v>5</v>
      </c>
      <c r="C36" s="171" t="s">
        <v>6</v>
      </c>
      <c r="D36" s="171" t="s">
        <v>7</v>
      </c>
      <c r="E36" s="171" t="s">
        <v>8</v>
      </c>
      <c r="F36" s="171" t="s">
        <v>9</v>
      </c>
      <c r="G36" s="172" t="s">
        <v>16</v>
      </c>
      <c r="H36" s="173" t="s">
        <v>133</v>
      </c>
      <c r="I36" s="172" t="s">
        <v>10</v>
      </c>
      <c r="J36" s="172" t="s">
        <v>19</v>
      </c>
      <c r="K36" s="172" t="s">
        <v>11</v>
      </c>
      <c r="L36" s="172" t="s">
        <v>14</v>
      </c>
      <c r="M36" s="172" t="s">
        <v>12</v>
      </c>
    </row>
    <row r="37" spans="1:14" x14ac:dyDescent="0.15">
      <c r="A37" s="217">
        <f>A21</f>
        <v>43374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</row>
    <row r="38" spans="1:14" x14ac:dyDescent="0.15">
      <c r="A38" s="217">
        <f t="shared" ref="A38:A48" si="32">A22</f>
        <v>43405</v>
      </c>
      <c r="B38" s="218">
        <f>B4-B3</f>
        <v>-0.35356900000000024</v>
      </c>
      <c r="C38" s="218">
        <f t="shared" ref="C38:M38" si="33">C4-C3</f>
        <v>8.3791999999999978E-2</v>
      </c>
      <c r="D38" s="218">
        <f t="shared" si="33"/>
        <v>2.941042000000003</v>
      </c>
      <c r="E38" s="218">
        <f t="shared" si="33"/>
        <v>1.8008600000000001</v>
      </c>
      <c r="F38" s="218">
        <f t="shared" si="33"/>
        <v>-1.7405360000000005</v>
      </c>
      <c r="G38" s="218">
        <f t="shared" si="33"/>
        <v>-1.0662530000000032</v>
      </c>
      <c r="H38" s="218">
        <f t="shared" si="33"/>
        <v>-9.7993960000000015</v>
      </c>
      <c r="I38" s="218">
        <f t="shared" si="33"/>
        <v>-5.8513000000000011</v>
      </c>
      <c r="J38" s="218">
        <f t="shared" si="33"/>
        <v>0.5004900000000001</v>
      </c>
      <c r="K38" s="218">
        <f t="shared" si="33"/>
        <v>-2.2246110000000003</v>
      </c>
      <c r="L38" s="218">
        <f t="shared" si="33"/>
        <v>-0.96200599999999969</v>
      </c>
      <c r="M38" s="218">
        <f t="shared" si="33"/>
        <v>8.3654000000000006E-2</v>
      </c>
      <c r="N38" s="16"/>
    </row>
    <row r="39" spans="1:14" x14ac:dyDescent="0.15">
      <c r="A39" s="217">
        <f t="shared" si="32"/>
        <v>43435</v>
      </c>
      <c r="B39" s="218">
        <f t="shared" ref="B39:M48" si="34">B5-B4</f>
        <v>1.7312029999999998</v>
      </c>
      <c r="C39" s="218">
        <f t="shared" si="34"/>
        <v>0.25093899999999991</v>
      </c>
      <c r="D39" s="218">
        <f t="shared" si="34"/>
        <v>-12.766971000000002</v>
      </c>
      <c r="E39" s="218">
        <f t="shared" si="34"/>
        <v>2.1179760000000023</v>
      </c>
      <c r="F39" s="218">
        <f t="shared" si="34"/>
        <v>-2.7350079999999997</v>
      </c>
      <c r="G39" s="218">
        <f t="shared" si="34"/>
        <v>3.0483710000000031</v>
      </c>
      <c r="H39" s="218">
        <f t="shared" si="34"/>
        <v>-15.071662</v>
      </c>
      <c r="I39" s="218">
        <f t="shared" si="34"/>
        <v>-1.3307799999999999</v>
      </c>
      <c r="J39" s="218">
        <f t="shared" si="34"/>
        <v>0.5658249999999998</v>
      </c>
      <c r="K39" s="218">
        <f t="shared" si="34"/>
        <v>1.6419779999999999</v>
      </c>
      <c r="L39" s="218">
        <f t="shared" si="34"/>
        <v>0.86525799999999986</v>
      </c>
      <c r="M39" s="218">
        <f t="shared" si="34"/>
        <v>-3.5037999999999986E-2</v>
      </c>
      <c r="N39" s="16"/>
    </row>
    <row r="40" spans="1:14" x14ac:dyDescent="0.15">
      <c r="A40" s="217">
        <f t="shared" si="32"/>
        <v>43466</v>
      </c>
      <c r="B40" s="218">
        <f t="shared" si="34"/>
        <v>1.7228720000000006</v>
      </c>
      <c r="C40" s="218">
        <f t="shared" si="34"/>
        <v>-0.35088399999999997</v>
      </c>
      <c r="D40" s="218">
        <f t="shared" si="34"/>
        <v>-1.2066580000000009</v>
      </c>
      <c r="E40" s="218">
        <f t="shared" si="34"/>
        <v>-2.8990810000000025</v>
      </c>
      <c r="F40" s="218">
        <f t="shared" si="34"/>
        <v>3.1834809999999996</v>
      </c>
      <c r="G40" s="218">
        <f t="shared" si="34"/>
        <v>2.6023759999999996</v>
      </c>
      <c r="H40" s="218">
        <f t="shared" si="34"/>
        <v>4.6169979999999988</v>
      </c>
      <c r="I40" s="218">
        <f t="shared" si="34"/>
        <v>1.6411050000000005</v>
      </c>
      <c r="J40" s="218">
        <f t="shared" si="34"/>
        <v>1.3462749999999999</v>
      </c>
      <c r="K40" s="218">
        <f t="shared" si="34"/>
        <v>-0.55765399999999987</v>
      </c>
      <c r="L40" s="218">
        <f t="shared" si="34"/>
        <v>4.9259940000000002</v>
      </c>
      <c r="M40" s="218">
        <f t="shared" si="34"/>
        <v>-6.0072000000000014E-2</v>
      </c>
      <c r="N40" s="16"/>
    </row>
    <row r="41" spans="1:14" x14ac:dyDescent="0.15">
      <c r="A41" s="217">
        <f t="shared" si="32"/>
        <v>43497</v>
      </c>
      <c r="B41" s="218">
        <f t="shared" si="34"/>
        <v>-2.2260530000000003</v>
      </c>
      <c r="C41" s="218">
        <f t="shared" si="34"/>
        <v>1.13561</v>
      </c>
      <c r="D41" s="218">
        <f t="shared" si="34"/>
        <v>-3.0127689999999987</v>
      </c>
      <c r="E41" s="218">
        <f t="shared" si="34"/>
        <v>-2.3663239999999988</v>
      </c>
      <c r="F41" s="218">
        <f t="shared" si="34"/>
        <v>-1.0999109999999996</v>
      </c>
      <c r="G41" s="218">
        <f t="shared" si="34"/>
        <v>1.4224839999999972</v>
      </c>
      <c r="H41" s="218">
        <f t="shared" si="34"/>
        <v>-0.59689200000000042</v>
      </c>
      <c r="I41" s="218">
        <f t="shared" si="34"/>
        <v>-2.6581030000000005</v>
      </c>
      <c r="J41" s="218">
        <f t="shared" si="34"/>
        <v>-0.68156499999999998</v>
      </c>
      <c r="K41" s="218">
        <f t="shared" si="34"/>
        <v>-0.55501600000000018</v>
      </c>
      <c r="L41" s="218">
        <f t="shared" si="34"/>
        <v>-6.4389770000000004</v>
      </c>
      <c r="M41" s="218">
        <f t="shared" si="34"/>
        <v>-3.4649999999999959E-3</v>
      </c>
      <c r="N41" s="16"/>
    </row>
    <row r="42" spans="1:14" x14ac:dyDescent="0.15">
      <c r="A42" s="217">
        <f t="shared" si="32"/>
        <v>43525</v>
      </c>
      <c r="B42" s="218">
        <f t="shared" si="34"/>
        <v>1.8754780000000002</v>
      </c>
      <c r="C42" s="218">
        <f t="shared" si="34"/>
        <v>0.72079500000000007</v>
      </c>
      <c r="D42" s="218">
        <f t="shared" si="34"/>
        <v>9.4942789999999988</v>
      </c>
      <c r="E42" s="218">
        <f t="shared" si="34"/>
        <v>26.542172999999998</v>
      </c>
      <c r="F42" s="218">
        <f t="shared" si="34"/>
        <v>1.1693809999999996</v>
      </c>
      <c r="G42" s="218">
        <f t="shared" si="34"/>
        <v>-2.3324749999999987</v>
      </c>
      <c r="H42" s="218">
        <f t="shared" si="34"/>
        <v>-2.2447230000000005</v>
      </c>
      <c r="I42" s="218">
        <f t="shared" si="34"/>
        <v>2.0249009999999998</v>
      </c>
      <c r="J42" s="218">
        <f t="shared" si="34"/>
        <v>-0.13591499999999979</v>
      </c>
      <c r="K42" s="218">
        <f t="shared" si="34"/>
        <v>-0.54460299999999995</v>
      </c>
      <c r="L42" s="218">
        <f t="shared" si="34"/>
        <v>-0.46477400000000024</v>
      </c>
      <c r="M42" s="218">
        <f t="shared" si="34"/>
        <v>5.4319999999999924E-3</v>
      </c>
      <c r="N42" s="16"/>
    </row>
    <row r="43" spans="1:14" x14ac:dyDescent="0.15">
      <c r="A43" s="217">
        <f t="shared" si="32"/>
        <v>43556</v>
      </c>
      <c r="B43" s="218">
        <f t="shared" si="34"/>
        <v>-3.5619860000000001</v>
      </c>
      <c r="C43" s="218">
        <f t="shared" si="34"/>
        <v>1.7380980000000004</v>
      </c>
      <c r="D43" s="218">
        <f t="shared" si="34"/>
        <v>-9.1413679999999999</v>
      </c>
      <c r="E43" s="218">
        <f t="shared" si="34"/>
        <v>-10.217503999999998</v>
      </c>
      <c r="F43" s="218">
        <f t="shared" si="34"/>
        <v>-1.085661</v>
      </c>
      <c r="G43" s="218">
        <f t="shared" si="34"/>
        <v>1.0439919999999994</v>
      </c>
      <c r="H43" s="218">
        <f t="shared" si="34"/>
        <v>-0.36115499999999656</v>
      </c>
      <c r="I43" s="218">
        <f t="shared" si="34"/>
        <v>-1.3002629999999993</v>
      </c>
      <c r="J43" s="218">
        <f t="shared" si="34"/>
        <v>-0.40003199999999994</v>
      </c>
      <c r="K43" s="218">
        <f t="shared" si="34"/>
        <v>0.45526500000000025</v>
      </c>
      <c r="L43" s="218">
        <f t="shared" si="34"/>
        <v>3.7691670000000004</v>
      </c>
      <c r="M43" s="218">
        <f t="shared" si="34"/>
        <v>4.4690000000000007E-2</v>
      </c>
      <c r="N43" s="16"/>
    </row>
    <row r="44" spans="1:14" x14ac:dyDescent="0.15">
      <c r="A44" s="217">
        <f t="shared" si="32"/>
        <v>43586</v>
      </c>
      <c r="B44" s="218">
        <f t="shared" si="34"/>
        <v>7.812299999999972E-2</v>
      </c>
      <c r="C44" s="218">
        <f t="shared" si="34"/>
        <v>3.4920049999999998</v>
      </c>
      <c r="D44" s="218">
        <f t="shared" si="34"/>
        <v>1.0287560000000013</v>
      </c>
      <c r="E44" s="218">
        <f t="shared" si="34"/>
        <v>-7.4012960000000021</v>
      </c>
      <c r="F44" s="218">
        <f t="shared" si="34"/>
        <v>0.76945400000000053</v>
      </c>
      <c r="G44" s="218">
        <f t="shared" si="34"/>
        <v>-1.5390990000000002</v>
      </c>
      <c r="H44" s="218">
        <f t="shared" si="34"/>
        <v>3.058449999999997</v>
      </c>
      <c r="I44" s="218">
        <f t="shared" si="34"/>
        <v>0.73120899999999978</v>
      </c>
      <c r="J44" s="218">
        <f t="shared" si="34"/>
        <v>-0.46929800000000021</v>
      </c>
      <c r="K44" s="218">
        <f t="shared" si="34"/>
        <v>0.13185000000000002</v>
      </c>
      <c r="L44" s="218">
        <f t="shared" si="34"/>
        <v>-2.9760369999999998</v>
      </c>
      <c r="M44" s="218">
        <f t="shared" si="34"/>
        <v>-2.8386000000000008E-2</v>
      </c>
      <c r="N44" s="16"/>
    </row>
    <row r="45" spans="1:14" x14ac:dyDescent="0.15">
      <c r="A45" s="217">
        <f t="shared" si="32"/>
        <v>43617</v>
      </c>
      <c r="B45" s="218">
        <f t="shared" si="34"/>
        <v>-0.6708679999999998</v>
      </c>
      <c r="C45" s="218">
        <f t="shared" si="34"/>
        <v>-5.4106699999999996</v>
      </c>
      <c r="D45" s="218">
        <f t="shared" si="34"/>
        <v>-3.2160520000000012</v>
      </c>
      <c r="E45" s="218">
        <f t="shared" si="34"/>
        <v>-1.5337199999999953</v>
      </c>
      <c r="F45" s="218">
        <f t="shared" si="34"/>
        <v>-0.90830699999999975</v>
      </c>
      <c r="G45" s="218">
        <f t="shared" si="34"/>
        <v>-4.5680300000000003</v>
      </c>
      <c r="H45" s="218">
        <f t="shared" si="34"/>
        <v>-6.1074829999999984</v>
      </c>
      <c r="I45" s="218">
        <f t="shared" si="34"/>
        <v>-0.20223200000000041</v>
      </c>
      <c r="J45" s="218">
        <f t="shared" si="34"/>
        <v>-0.18814899999999968</v>
      </c>
      <c r="K45" s="218">
        <f t="shared" si="34"/>
        <v>3.3478689999999998</v>
      </c>
      <c r="L45" s="218">
        <f t="shared" si="34"/>
        <v>-7.4883999999999951E-2</v>
      </c>
      <c r="M45" s="218">
        <f t="shared" si="34"/>
        <v>-1.4291999999999999E-2</v>
      </c>
      <c r="N45" s="16"/>
    </row>
    <row r="46" spans="1:14" x14ac:dyDescent="0.15">
      <c r="A46" s="217">
        <f t="shared" si="32"/>
        <v>43647</v>
      </c>
      <c r="B46" s="218">
        <f t="shared" si="34"/>
        <v>0.32175200000000004</v>
      </c>
      <c r="C46" s="218">
        <f t="shared" si="34"/>
        <v>3.5773999999999972E-2</v>
      </c>
      <c r="D46" s="218">
        <f t="shared" si="34"/>
        <v>6.8137909999999984</v>
      </c>
      <c r="E46" s="218">
        <f t="shared" si="34"/>
        <v>4.2297949999999958</v>
      </c>
      <c r="F46" s="218">
        <f t="shared" si="34"/>
        <v>3.2736140000000002</v>
      </c>
      <c r="G46" s="218">
        <f t="shared" si="34"/>
        <v>-0.86601399999999984</v>
      </c>
      <c r="H46" s="218">
        <f t="shared" si="34"/>
        <v>-1.5326640000000005</v>
      </c>
      <c r="I46" s="218">
        <f t="shared" si="34"/>
        <v>-0.23635399999999951</v>
      </c>
      <c r="J46" s="218">
        <f t="shared" si="34"/>
        <v>1.4557899999999999</v>
      </c>
      <c r="K46" s="218">
        <f t="shared" si="34"/>
        <v>1.9465340000000007</v>
      </c>
      <c r="L46" s="218">
        <f t="shared" si="34"/>
        <v>-1.3091100000000004</v>
      </c>
      <c r="M46" s="218">
        <f t="shared" si="34"/>
        <v>-2.2279999999999939E-3</v>
      </c>
      <c r="N46" s="16"/>
    </row>
    <row r="47" spans="1:14" x14ac:dyDescent="0.15">
      <c r="A47" s="217">
        <f t="shared" si="32"/>
        <v>43678</v>
      </c>
      <c r="B47" s="218">
        <f t="shared" si="34"/>
        <v>-0.79799799999999999</v>
      </c>
      <c r="C47" s="218">
        <f t="shared" si="34"/>
        <v>1.00007</v>
      </c>
      <c r="D47" s="218">
        <f t="shared" si="34"/>
        <v>12.147638000000001</v>
      </c>
      <c r="E47" s="218">
        <f t="shared" si="34"/>
        <v>-2.5865369999999999</v>
      </c>
      <c r="F47" s="218">
        <f t="shared" si="34"/>
        <v>7.8440999999999761E-2</v>
      </c>
      <c r="G47" s="218">
        <f t="shared" si="34"/>
        <v>-0.61740700000000004</v>
      </c>
      <c r="H47" s="218">
        <f t="shared" si="34"/>
        <v>-2.3926850000000002</v>
      </c>
      <c r="I47" s="218">
        <f t="shared" si="34"/>
        <v>-1.8154150000000002</v>
      </c>
      <c r="J47" s="218">
        <f t="shared" si="34"/>
        <v>-0.19978000000000007</v>
      </c>
      <c r="K47" s="218">
        <f t="shared" si="34"/>
        <v>-0.39672700000000027</v>
      </c>
      <c r="L47" s="218">
        <f t="shared" si="34"/>
        <v>2.1326580000000002</v>
      </c>
      <c r="M47" s="218">
        <f t="shared" si="34"/>
        <v>-1.4837000000000003E-2</v>
      </c>
      <c r="N47" s="16"/>
    </row>
    <row r="48" spans="1:14" x14ac:dyDescent="0.15">
      <c r="A48" s="217">
        <f t="shared" si="32"/>
        <v>43709</v>
      </c>
      <c r="B48" s="218">
        <f t="shared" si="34"/>
        <v>1.3647229999999997</v>
      </c>
      <c r="C48" s="218">
        <f t="shared" si="34"/>
        <v>0.77348599999999967</v>
      </c>
      <c r="D48" s="218">
        <f t="shared" si="34"/>
        <v>-14.296616</v>
      </c>
      <c r="E48" s="218">
        <f t="shared" si="34"/>
        <v>8.1222580000000022</v>
      </c>
      <c r="F48" s="218">
        <f t="shared" si="34"/>
        <v>0.98726899999999951</v>
      </c>
      <c r="G48" s="218">
        <f t="shared" si="34"/>
        <v>7.9941209999999998</v>
      </c>
      <c r="H48" s="218">
        <f t="shared" si="34"/>
        <v>10.300440999999999</v>
      </c>
      <c r="I48" s="218">
        <f t="shared" si="34"/>
        <v>1.054179</v>
      </c>
      <c r="J48" s="218">
        <f t="shared" si="34"/>
        <v>-8.5593000000000252E-2</v>
      </c>
      <c r="K48" s="218">
        <f t="shared" si="34"/>
        <v>-4.1315640000000009</v>
      </c>
      <c r="L48" s="218">
        <f t="shared" si="34"/>
        <v>0.15748599999999957</v>
      </c>
      <c r="M48" s="218">
        <f t="shared" si="34"/>
        <v>7.0120000000000043E-3</v>
      </c>
      <c r="N48" s="16"/>
    </row>
    <row r="49" spans="1:29" x14ac:dyDescent="0.15">
      <c r="A49" s="12" t="s">
        <v>13</v>
      </c>
      <c r="B49" s="13">
        <f>SUM(B37:B48)</f>
        <v>-0.51632300000000031</v>
      </c>
      <c r="H49" s="15"/>
      <c r="I49" s="15"/>
      <c r="J49" s="15"/>
      <c r="L49" s="17"/>
      <c r="M49" s="16"/>
      <c r="N49" s="16"/>
    </row>
    <row r="50" spans="1:29" x14ac:dyDescent="0.15">
      <c r="H50" s="15"/>
      <c r="I50" s="15"/>
      <c r="J50" s="15"/>
      <c r="L50" s="17"/>
      <c r="M50" s="16"/>
      <c r="N50" s="16"/>
    </row>
    <row r="51" spans="1:29" x14ac:dyDescent="0.15">
      <c r="H51" s="15"/>
      <c r="I51" s="15"/>
      <c r="J51" s="15"/>
      <c r="L51" s="17"/>
    </row>
    <row r="52" spans="1:29" x14ac:dyDescent="0.15">
      <c r="H52" s="15"/>
      <c r="I52" s="15"/>
      <c r="J52" s="15"/>
    </row>
    <row r="53" spans="1:29" x14ac:dyDescent="0.15">
      <c r="A53" s="20" t="s">
        <v>35</v>
      </c>
      <c r="P53" s="35" t="s">
        <v>117</v>
      </c>
    </row>
    <row r="54" spans="1:29" ht="28" x14ac:dyDescent="0.15">
      <c r="A54" s="1" t="s">
        <v>25</v>
      </c>
      <c r="B54" s="6" t="s">
        <v>5</v>
      </c>
      <c r="C54" s="6" t="s">
        <v>6</v>
      </c>
      <c r="D54" s="6" t="s">
        <v>7</v>
      </c>
      <c r="E54" s="6" t="s">
        <v>8</v>
      </c>
      <c r="F54" s="6" t="s">
        <v>9</v>
      </c>
      <c r="G54" s="4" t="s">
        <v>16</v>
      </c>
      <c r="H54" s="2" t="s">
        <v>133</v>
      </c>
      <c r="I54" s="4" t="s">
        <v>10</v>
      </c>
      <c r="J54" s="4" t="s">
        <v>19</v>
      </c>
      <c r="K54" s="4" t="s">
        <v>11</v>
      </c>
      <c r="L54" s="4" t="s">
        <v>14</v>
      </c>
      <c r="M54" s="4" t="s">
        <v>12</v>
      </c>
      <c r="N54" s="4" t="s">
        <v>13</v>
      </c>
      <c r="P54" s="1" t="s">
        <v>36</v>
      </c>
      <c r="Q54" s="6" t="s">
        <v>5</v>
      </c>
      <c r="R54" s="6" t="s">
        <v>6</v>
      </c>
      <c r="S54" s="6" t="s">
        <v>7</v>
      </c>
      <c r="T54" s="6" t="s">
        <v>8</v>
      </c>
      <c r="U54" s="6" t="s">
        <v>9</v>
      </c>
      <c r="V54" s="4" t="s">
        <v>16</v>
      </c>
      <c r="W54" s="2" t="s">
        <v>133</v>
      </c>
      <c r="X54" s="4" t="s">
        <v>10</v>
      </c>
      <c r="Y54" s="4" t="s">
        <v>19</v>
      </c>
      <c r="Z54" s="4" t="s">
        <v>11</v>
      </c>
      <c r="AA54" s="4" t="s">
        <v>14</v>
      </c>
      <c r="AB54" s="4" t="s">
        <v>12</v>
      </c>
      <c r="AC54" s="134" t="s">
        <v>13</v>
      </c>
    </row>
    <row r="55" spans="1:29" x14ac:dyDescent="0.15">
      <c r="A55" s="134" t="str">
        <f>P55</f>
        <v>2018-10</v>
      </c>
      <c r="B55" s="133">
        <f>Q55/1024</f>
        <v>280.0980167126279</v>
      </c>
      <c r="C55" s="133">
        <f t="shared" ref="C55:C66" si="35">R55/1024</f>
        <v>355.18887655856054</v>
      </c>
      <c r="D55" s="133">
        <f t="shared" ref="D55:D66" si="36">S55/1024</f>
        <v>19.023880026274998</v>
      </c>
      <c r="E55" s="133">
        <f t="shared" ref="E55:E66" si="37">T55/1024</f>
        <v>508.99069251670119</v>
      </c>
      <c r="F55" s="133">
        <f t="shared" ref="F55:F66" si="38">U55/1024</f>
        <v>10.34788113115791</v>
      </c>
      <c r="G55" s="133">
        <f t="shared" ref="G55:G66" si="39">V55/1024</f>
        <v>362.15444938717792</v>
      </c>
      <c r="H55" s="133">
        <f t="shared" ref="H55:H66" si="40">W55/1024</f>
        <v>836.67498787611714</v>
      </c>
      <c r="I55" s="133">
        <f t="shared" ref="I55:I66" si="41">X55/1024</f>
        <v>72.343867185605546</v>
      </c>
      <c r="J55" s="133">
        <f t="shared" ref="J55:J66" si="42">Y55/1024</f>
        <v>109.22477494514258</v>
      </c>
      <c r="K55" s="133">
        <f t="shared" ref="K55:K66" si="43">Z55/1024</f>
        <v>76.061175169004883</v>
      </c>
      <c r="L55" s="133">
        <f t="shared" ref="L55:L66" si="44">AA55/1024</f>
        <v>46.893876806443558</v>
      </c>
      <c r="M55" s="133">
        <f t="shared" ref="M55:M66" si="45">AB55/1024</f>
        <v>0.79072443925724611</v>
      </c>
      <c r="N55" s="133">
        <f t="shared" ref="N55:N67" si="46">SUM(B55:M55)</f>
        <v>2677.7932027540714</v>
      </c>
      <c r="P55" s="134" t="str">
        <f>P3</f>
        <v>2018-10</v>
      </c>
      <c r="Q55" s="132">
        <v>286820.36911373097</v>
      </c>
      <c r="R55" s="132">
        <v>363713.40959596599</v>
      </c>
      <c r="S55" s="132">
        <v>19480.453146905598</v>
      </c>
      <c r="T55" s="132">
        <v>521206.46913710202</v>
      </c>
      <c r="U55" s="132">
        <v>10596.2302783057</v>
      </c>
      <c r="V55" s="132">
        <v>370846.15617247019</v>
      </c>
      <c r="W55" s="132">
        <v>856755.18758514395</v>
      </c>
      <c r="X55" s="132">
        <v>74080.11999806008</v>
      </c>
      <c r="Y55" s="132">
        <v>111846.16954382601</v>
      </c>
      <c r="Z55" s="132">
        <v>77886.643373061001</v>
      </c>
      <c r="AA55" s="132">
        <v>48019.329849798203</v>
      </c>
      <c r="AB55" s="132">
        <v>809.70182579942002</v>
      </c>
      <c r="AC55" s="167">
        <f t="shared" ref="AC55:AC66" si="47">SUM(Q55:AB55)</f>
        <v>2742060.2396201692</v>
      </c>
    </row>
    <row r="56" spans="1:29" x14ac:dyDescent="0.15">
      <c r="A56" s="134" t="str">
        <f t="shared" ref="A56:A66" si="48">P56</f>
        <v>2018-11</v>
      </c>
      <c r="B56" s="133">
        <f t="shared" ref="B56:B66" si="49">Q56/1024</f>
        <v>286.897057938432</v>
      </c>
      <c r="C56" s="133">
        <f t="shared" si="35"/>
        <v>381.80256290204881</v>
      </c>
      <c r="D56" s="133">
        <f t="shared" si="36"/>
        <v>19.327852291108595</v>
      </c>
      <c r="E56" s="133">
        <f t="shared" si="37"/>
        <v>467.40393147896191</v>
      </c>
      <c r="F56" s="133">
        <f t="shared" si="38"/>
        <v>1.1690981977117187</v>
      </c>
      <c r="G56" s="133">
        <f t="shared" si="39"/>
        <v>530.58700370782356</v>
      </c>
      <c r="H56" s="133">
        <f t="shared" si="40"/>
        <v>844.74211297854686</v>
      </c>
      <c r="I56" s="133">
        <f t="shared" si="41"/>
        <v>38.82395820951654</v>
      </c>
      <c r="J56" s="133">
        <f t="shared" si="42"/>
        <v>102.0757068166084</v>
      </c>
      <c r="K56" s="133">
        <f t="shared" si="43"/>
        <v>47.059049186202735</v>
      </c>
      <c r="L56" s="133">
        <f t="shared" si="44"/>
        <v>50.349063286962497</v>
      </c>
      <c r="M56" s="133">
        <f t="shared" si="45"/>
        <v>0.88239319357035062</v>
      </c>
      <c r="N56" s="133">
        <f t="shared" si="46"/>
        <v>2771.1197901874943</v>
      </c>
      <c r="P56" s="134" t="str">
        <f t="shared" ref="P56:P66" si="50">P4</f>
        <v>2018-11</v>
      </c>
      <c r="Q56" s="132">
        <v>293782.58732895437</v>
      </c>
      <c r="R56" s="132">
        <v>390965.82441169798</v>
      </c>
      <c r="S56" s="132">
        <v>19791.720746095201</v>
      </c>
      <c r="T56" s="132">
        <v>478621.62583445699</v>
      </c>
      <c r="U56" s="132">
        <v>1197.1565544568</v>
      </c>
      <c r="V56" s="132">
        <v>543321.09179681132</v>
      </c>
      <c r="W56" s="132">
        <v>865015.92369003198</v>
      </c>
      <c r="X56" s="132">
        <v>39755.733206544937</v>
      </c>
      <c r="Y56" s="132">
        <v>104525.523780207</v>
      </c>
      <c r="Z56" s="132">
        <v>48188.466366671601</v>
      </c>
      <c r="AA56" s="132">
        <v>51557.440805849597</v>
      </c>
      <c r="AB56" s="132">
        <v>903.57063021603904</v>
      </c>
      <c r="AC56" s="167">
        <f t="shared" si="47"/>
        <v>2837626.6651519942</v>
      </c>
    </row>
    <row r="57" spans="1:29" x14ac:dyDescent="0.15">
      <c r="A57" s="134" t="str">
        <f t="shared" si="48"/>
        <v>2018-12</v>
      </c>
      <c r="B57" s="133">
        <f t="shared" si="49"/>
        <v>264.3257907037767</v>
      </c>
      <c r="C57" s="133">
        <f t="shared" si="35"/>
        <v>355.41238054507323</v>
      </c>
      <c r="D57" s="133">
        <f t="shared" si="36"/>
        <v>18.353928131506056</v>
      </c>
      <c r="E57" s="133">
        <f t="shared" si="37"/>
        <v>372.42141229416404</v>
      </c>
      <c r="F57" s="133">
        <f t="shared" si="38"/>
        <v>0.29750467886969922</v>
      </c>
      <c r="G57" s="133">
        <f t="shared" si="39"/>
        <v>483.16780585179686</v>
      </c>
      <c r="H57" s="133">
        <f t="shared" si="40"/>
        <v>778.38061869856733</v>
      </c>
      <c r="I57" s="133">
        <f t="shared" si="41"/>
        <v>56.26439332051811</v>
      </c>
      <c r="J57" s="133">
        <f t="shared" si="42"/>
        <v>131.41720419048437</v>
      </c>
      <c r="K57" s="133">
        <f t="shared" si="43"/>
        <v>23.196363976393847</v>
      </c>
      <c r="L57" s="133">
        <f t="shared" si="44"/>
        <v>64.376491739052639</v>
      </c>
      <c r="M57" s="133">
        <f t="shared" si="45"/>
        <v>0.72319260005860941</v>
      </c>
      <c r="N57" s="133">
        <f t="shared" si="46"/>
        <v>2548.3370867302619</v>
      </c>
      <c r="P57" s="134" t="str">
        <f t="shared" si="50"/>
        <v>2018-12</v>
      </c>
      <c r="Q57" s="132">
        <v>270669.60968066734</v>
      </c>
      <c r="R57" s="132">
        <v>363942.27767815499</v>
      </c>
      <c r="S57" s="132">
        <v>18794.422406662201</v>
      </c>
      <c r="T57" s="132">
        <v>381359.52618922398</v>
      </c>
      <c r="U57" s="132">
        <v>304.64479116257201</v>
      </c>
      <c r="V57" s="132">
        <v>494763.83319223998</v>
      </c>
      <c r="W57" s="132">
        <v>797061.75354733295</v>
      </c>
      <c r="X57" s="132">
        <v>57614.738760210545</v>
      </c>
      <c r="Y57" s="132">
        <v>134571.21709105599</v>
      </c>
      <c r="Z57" s="132">
        <v>23753.0767118273</v>
      </c>
      <c r="AA57" s="132">
        <v>65921.527540789903</v>
      </c>
      <c r="AB57" s="132">
        <v>740.54922246001604</v>
      </c>
      <c r="AC57" s="167">
        <f t="shared" si="47"/>
        <v>2609497.1768117882</v>
      </c>
    </row>
    <row r="58" spans="1:29" x14ac:dyDescent="0.15">
      <c r="A58" s="134" t="str">
        <f t="shared" si="48"/>
        <v>2019-01</v>
      </c>
      <c r="B58" s="133">
        <f t="shared" si="49"/>
        <v>491.60483345068582</v>
      </c>
      <c r="C58" s="133">
        <f t="shared" si="35"/>
        <v>157.04149273657617</v>
      </c>
      <c r="D58" s="133">
        <f t="shared" si="36"/>
        <v>17.995068979517775</v>
      </c>
      <c r="E58" s="133">
        <f t="shared" si="37"/>
        <v>365.72511930577537</v>
      </c>
      <c r="F58" s="133">
        <f t="shared" si="38"/>
        <v>1.9036544640593944</v>
      </c>
      <c r="G58" s="133">
        <f t="shared" si="39"/>
        <v>457.53175477459621</v>
      </c>
      <c r="H58" s="133">
        <f t="shared" si="40"/>
        <v>877.36891176285053</v>
      </c>
      <c r="I58" s="133">
        <f t="shared" si="41"/>
        <v>100.48962160089583</v>
      </c>
      <c r="J58" s="133">
        <f t="shared" si="42"/>
        <v>191.10955893045312</v>
      </c>
      <c r="K58" s="133">
        <f t="shared" si="43"/>
        <v>23.489562972070605</v>
      </c>
      <c r="L58" s="133">
        <f t="shared" si="44"/>
        <v>46.594156565105472</v>
      </c>
      <c r="M58" s="133">
        <f t="shared" si="45"/>
        <v>0.78568255302707224</v>
      </c>
      <c r="N58" s="133">
        <f t="shared" si="46"/>
        <v>2731.6394180956136</v>
      </c>
      <c r="P58" s="134" t="str">
        <f t="shared" si="50"/>
        <v>2019-01</v>
      </c>
      <c r="Q58" s="132">
        <v>503403.34945350228</v>
      </c>
      <c r="R58" s="132">
        <v>160810.488562254</v>
      </c>
      <c r="S58" s="132">
        <v>18426.950635026202</v>
      </c>
      <c r="T58" s="132">
        <v>374502.52216911397</v>
      </c>
      <c r="U58" s="132">
        <v>1949.3421711968199</v>
      </c>
      <c r="V58" s="132">
        <v>468512.51688918652</v>
      </c>
      <c r="W58" s="132">
        <v>898425.76564515894</v>
      </c>
      <c r="X58" s="132">
        <v>102901.37251931733</v>
      </c>
      <c r="Y58" s="132">
        <v>195696.18834478399</v>
      </c>
      <c r="Z58" s="132">
        <v>24053.312483400299</v>
      </c>
      <c r="AA58" s="132">
        <v>47712.416322668003</v>
      </c>
      <c r="AB58" s="132">
        <v>804.53893429972197</v>
      </c>
      <c r="AC58" s="167">
        <f t="shared" si="47"/>
        <v>2797198.7641299083</v>
      </c>
    </row>
    <row r="59" spans="1:29" x14ac:dyDescent="0.15">
      <c r="A59" s="134" t="str">
        <f t="shared" si="48"/>
        <v>2019-02</v>
      </c>
      <c r="B59" s="133">
        <f t="shared" si="49"/>
        <v>334.55395214667237</v>
      </c>
      <c r="C59" s="133">
        <f t="shared" si="35"/>
        <v>590.46059290320795</v>
      </c>
      <c r="D59" s="133">
        <f t="shared" si="36"/>
        <v>16.787211428716503</v>
      </c>
      <c r="E59" s="133">
        <f t="shared" si="37"/>
        <v>489.98353010122167</v>
      </c>
      <c r="F59" s="133">
        <f t="shared" si="38"/>
        <v>1.3246686015117968</v>
      </c>
      <c r="G59" s="133">
        <f t="shared" si="39"/>
        <v>446.70513438160992</v>
      </c>
      <c r="H59" s="133">
        <f t="shared" si="40"/>
        <v>854.4841195441885</v>
      </c>
      <c r="I59" s="133">
        <f t="shared" si="41"/>
        <v>50.770411229786035</v>
      </c>
      <c r="J59" s="133">
        <f t="shared" si="42"/>
        <v>81.955569898836032</v>
      </c>
      <c r="K59" s="133">
        <f t="shared" si="43"/>
        <v>18.339001087023536</v>
      </c>
      <c r="L59" s="133">
        <f t="shared" si="44"/>
        <v>43.148831478344533</v>
      </c>
      <c r="M59" s="133">
        <f t="shared" si="45"/>
        <v>0.75692844171589946</v>
      </c>
      <c r="N59" s="133">
        <f t="shared" si="46"/>
        <v>2929.2699512428348</v>
      </c>
      <c r="P59" s="134" t="str">
        <f t="shared" si="50"/>
        <v>2019-02</v>
      </c>
      <c r="Q59" s="132">
        <v>342583.24699819251</v>
      </c>
      <c r="R59" s="132">
        <v>604631.64713288494</v>
      </c>
      <c r="S59" s="132">
        <v>17190.104503005699</v>
      </c>
      <c r="T59" s="132">
        <v>501743.13482365099</v>
      </c>
      <c r="U59" s="132">
        <v>1356.4606479480799</v>
      </c>
      <c r="V59" s="132">
        <v>457426.05760676856</v>
      </c>
      <c r="W59" s="132">
        <v>874991.73841324903</v>
      </c>
      <c r="X59" s="132">
        <v>51988.9010993009</v>
      </c>
      <c r="Y59" s="132">
        <v>83922.503576408097</v>
      </c>
      <c r="Z59" s="132">
        <v>18779.137113112101</v>
      </c>
      <c r="AA59" s="132">
        <v>44184.403433824802</v>
      </c>
      <c r="AB59" s="132">
        <v>775.09472431708105</v>
      </c>
      <c r="AC59" s="167">
        <f t="shared" si="47"/>
        <v>2999572.4300726629</v>
      </c>
    </row>
    <row r="60" spans="1:29" x14ac:dyDescent="0.15">
      <c r="A60" s="134" t="str">
        <f t="shared" si="48"/>
        <v>2019-03</v>
      </c>
      <c r="B60" s="133">
        <f t="shared" si="49"/>
        <v>457.56390611709583</v>
      </c>
      <c r="C60" s="133">
        <f t="shared" si="35"/>
        <v>840.36840910666308</v>
      </c>
      <c r="D60" s="133">
        <f t="shared" si="36"/>
        <v>20.194969089297949</v>
      </c>
      <c r="E60" s="133">
        <f t="shared" si="37"/>
        <v>570.03399690775586</v>
      </c>
      <c r="F60" s="133">
        <f t="shared" si="38"/>
        <v>1.3805384419192677</v>
      </c>
      <c r="G60" s="133">
        <f t="shared" si="39"/>
        <v>495.08331065670671</v>
      </c>
      <c r="H60" s="133">
        <f t="shared" si="40"/>
        <v>891.06972351857905</v>
      </c>
      <c r="I60" s="133">
        <f t="shared" si="41"/>
        <v>22.62586357727282</v>
      </c>
      <c r="J60" s="133">
        <f t="shared" si="42"/>
        <v>87.779272319266013</v>
      </c>
      <c r="K60" s="133">
        <f t="shared" si="43"/>
        <v>34.27947899042676</v>
      </c>
      <c r="L60" s="133">
        <f t="shared" si="44"/>
        <v>49.776209582144432</v>
      </c>
      <c r="M60" s="133">
        <f t="shared" si="45"/>
        <v>0.90339326927551078</v>
      </c>
      <c r="N60" s="133">
        <f t="shared" si="46"/>
        <v>3471.0590715764033</v>
      </c>
      <c r="P60" s="134" t="str">
        <f t="shared" si="50"/>
        <v>2019-03</v>
      </c>
      <c r="Q60" s="132">
        <v>468545.43986390613</v>
      </c>
      <c r="R60" s="132">
        <v>860537.25092522299</v>
      </c>
      <c r="S60" s="132">
        <v>20679.6483474411</v>
      </c>
      <c r="T60" s="132">
        <v>583714.812833542</v>
      </c>
      <c r="U60" s="132">
        <v>1413.6713645253301</v>
      </c>
      <c r="V60" s="132">
        <v>506965.31011246768</v>
      </c>
      <c r="W60" s="132">
        <v>912455.39688302495</v>
      </c>
      <c r="X60" s="132">
        <v>23168.884303127368</v>
      </c>
      <c r="Y60" s="132">
        <v>89885.974854928398</v>
      </c>
      <c r="Z60" s="132">
        <v>35102.186486197003</v>
      </c>
      <c r="AA60" s="132">
        <v>50970.838612115898</v>
      </c>
      <c r="AB60" s="132">
        <v>925.07470773812304</v>
      </c>
      <c r="AC60" s="167">
        <f t="shared" si="47"/>
        <v>3554364.489294237</v>
      </c>
    </row>
    <row r="61" spans="1:29" x14ac:dyDescent="0.15">
      <c r="A61" s="134" t="str">
        <f t="shared" si="48"/>
        <v>2019-04</v>
      </c>
      <c r="B61" s="133">
        <f t="shared" si="49"/>
        <v>149.18654964788192</v>
      </c>
      <c r="C61" s="133">
        <f t="shared" si="35"/>
        <v>537.31851259931932</v>
      </c>
      <c r="D61" s="133">
        <f t="shared" si="36"/>
        <v>18.640194385632618</v>
      </c>
      <c r="E61" s="133">
        <f t="shared" si="37"/>
        <v>504.05782802876854</v>
      </c>
      <c r="F61" s="133">
        <f t="shared" si="38"/>
        <v>1.9814978805898047</v>
      </c>
      <c r="G61" s="133">
        <f t="shared" si="39"/>
        <v>371.2680686421341</v>
      </c>
      <c r="H61" s="133">
        <f t="shared" si="40"/>
        <v>844.79868265052539</v>
      </c>
      <c r="I61" s="133">
        <f t="shared" si="41"/>
        <v>71.886001677294132</v>
      </c>
      <c r="J61" s="133">
        <f t="shared" si="42"/>
        <v>88.218191184900192</v>
      </c>
      <c r="K61" s="133">
        <f t="shared" si="43"/>
        <v>15.797653510418749</v>
      </c>
      <c r="L61" s="133">
        <f t="shared" si="44"/>
        <v>55.575087000047361</v>
      </c>
      <c r="M61" s="133">
        <f t="shared" si="45"/>
        <v>1.9883597970592677</v>
      </c>
      <c r="N61" s="133">
        <f t="shared" si="46"/>
        <v>2660.7166270045718</v>
      </c>
      <c r="P61" s="134" t="str">
        <f t="shared" si="50"/>
        <v>2019-04</v>
      </c>
      <c r="Q61" s="132">
        <v>152767.02683943108</v>
      </c>
      <c r="R61" s="132">
        <v>550214.15690170298</v>
      </c>
      <c r="S61" s="132">
        <v>19087.559050887801</v>
      </c>
      <c r="T61" s="132">
        <v>516155.21590145899</v>
      </c>
      <c r="U61" s="132">
        <v>2029.05382972396</v>
      </c>
      <c r="V61" s="132">
        <v>380178.50228954531</v>
      </c>
      <c r="W61" s="132">
        <v>865073.851034138</v>
      </c>
      <c r="X61" s="132">
        <v>73611.265717549191</v>
      </c>
      <c r="Y61" s="132">
        <v>90335.427773337797</v>
      </c>
      <c r="Z61" s="132">
        <v>16176.797194668799</v>
      </c>
      <c r="AA61" s="132">
        <v>56908.889088048498</v>
      </c>
      <c r="AB61" s="132">
        <v>2036.0804321886901</v>
      </c>
      <c r="AC61" s="167">
        <f t="shared" si="47"/>
        <v>2724573.8260526815</v>
      </c>
    </row>
    <row r="62" spans="1:29" x14ac:dyDescent="0.15">
      <c r="A62" s="134" t="str">
        <f t="shared" si="48"/>
        <v>2019-05</v>
      </c>
      <c r="B62" s="133">
        <f t="shared" si="49"/>
        <v>356.18104918833052</v>
      </c>
      <c r="C62" s="133">
        <f t="shared" si="35"/>
        <v>745.86216223980955</v>
      </c>
      <c r="D62" s="133">
        <f t="shared" si="36"/>
        <v>21.532151364910447</v>
      </c>
      <c r="E62" s="133">
        <f t="shared" si="37"/>
        <v>500.64821320424318</v>
      </c>
      <c r="F62" s="133">
        <f t="shared" si="38"/>
        <v>0.70172424179418069</v>
      </c>
      <c r="G62" s="133">
        <f t="shared" si="39"/>
        <v>361.5919566759012</v>
      </c>
      <c r="H62" s="133">
        <f t="shared" si="40"/>
        <v>872.36426321926558</v>
      </c>
      <c r="I62" s="133">
        <f t="shared" si="41"/>
        <v>81.413881448835099</v>
      </c>
      <c r="J62" s="133">
        <f t="shared" si="42"/>
        <v>103.71152995918945</v>
      </c>
      <c r="K62" s="133">
        <f t="shared" si="43"/>
        <v>18.036521840402148</v>
      </c>
      <c r="L62" s="133">
        <f t="shared" si="44"/>
        <v>40.262623267075391</v>
      </c>
      <c r="M62" s="133">
        <f t="shared" si="45"/>
        <v>1.6504378791478223</v>
      </c>
      <c r="N62" s="133">
        <f t="shared" si="46"/>
        <v>3103.9565145289048</v>
      </c>
      <c r="P62" s="134" t="str">
        <f t="shared" si="50"/>
        <v>2019-05</v>
      </c>
      <c r="Q62" s="132">
        <v>364729.39436885045</v>
      </c>
      <c r="R62" s="132">
        <v>763762.85413356498</v>
      </c>
      <c r="S62" s="132">
        <v>22048.922997668298</v>
      </c>
      <c r="T62" s="132">
        <v>512663.77032114501</v>
      </c>
      <c r="U62" s="132">
        <v>718.56562359724103</v>
      </c>
      <c r="V62" s="132">
        <v>370270.16363612283</v>
      </c>
      <c r="W62" s="132">
        <v>893301.00553652795</v>
      </c>
      <c r="X62" s="132">
        <v>83367.814603607141</v>
      </c>
      <c r="Y62" s="132">
        <v>106200.60667821</v>
      </c>
      <c r="Z62" s="132">
        <v>18469.3983645718</v>
      </c>
      <c r="AA62" s="132">
        <v>41228.9262254852</v>
      </c>
      <c r="AB62" s="132">
        <v>1690.04838824737</v>
      </c>
      <c r="AC62" s="167">
        <f t="shared" si="47"/>
        <v>3178451.4708775985</v>
      </c>
    </row>
    <row r="63" spans="1:29" x14ac:dyDescent="0.15">
      <c r="A63" s="134" t="str">
        <f t="shared" si="48"/>
        <v>2019-06</v>
      </c>
      <c r="B63" s="133">
        <f t="shared" si="49"/>
        <v>119.55639719326035</v>
      </c>
      <c r="C63" s="133">
        <f t="shared" si="35"/>
        <v>860.36676799965335</v>
      </c>
      <c r="D63" s="133">
        <f t="shared" si="36"/>
        <v>19.240143283169335</v>
      </c>
      <c r="E63" s="133">
        <f t="shared" si="37"/>
        <v>472.3779022035244</v>
      </c>
      <c r="F63" s="133">
        <f t="shared" si="38"/>
        <v>0.44913269294102048</v>
      </c>
      <c r="G63" s="133">
        <f t="shared" si="39"/>
        <v>475.62683050210569</v>
      </c>
      <c r="H63" s="133">
        <f t="shared" si="40"/>
        <v>622.96402485061617</v>
      </c>
      <c r="I63" s="133">
        <f t="shared" si="41"/>
        <v>78.54856889061189</v>
      </c>
      <c r="J63" s="133">
        <f t="shared" si="42"/>
        <v>97.380941278340231</v>
      </c>
      <c r="K63" s="133">
        <f t="shared" si="43"/>
        <v>30.930343265291896</v>
      </c>
      <c r="L63" s="133">
        <f t="shared" si="44"/>
        <v>39.326759328133399</v>
      </c>
      <c r="M63" s="133">
        <f t="shared" si="45"/>
        <v>1.2745147172081446</v>
      </c>
      <c r="N63" s="133">
        <f t="shared" si="46"/>
        <v>2818.0423262048562</v>
      </c>
      <c r="P63" s="134" t="str">
        <f t="shared" si="50"/>
        <v>2019-06</v>
      </c>
      <c r="Q63" s="132">
        <v>122425.7507258986</v>
      </c>
      <c r="R63" s="132">
        <v>881015.57043164503</v>
      </c>
      <c r="S63" s="132">
        <v>19701.906721965399</v>
      </c>
      <c r="T63" s="132">
        <v>483714.97185640899</v>
      </c>
      <c r="U63" s="132">
        <v>459.91187757160498</v>
      </c>
      <c r="V63" s="132">
        <v>487041.87443415623</v>
      </c>
      <c r="W63" s="132">
        <v>637915.16144703096</v>
      </c>
      <c r="X63" s="132">
        <v>80433.734543986575</v>
      </c>
      <c r="Y63" s="132">
        <v>99718.083869020396</v>
      </c>
      <c r="Z63" s="132">
        <v>31672.671503658901</v>
      </c>
      <c r="AA63" s="132">
        <v>40270.6015520086</v>
      </c>
      <c r="AB63" s="132">
        <v>1305.10307042114</v>
      </c>
      <c r="AC63" s="167">
        <f t="shared" si="47"/>
        <v>2885675.3420337727</v>
      </c>
    </row>
    <row r="64" spans="1:29" x14ac:dyDescent="0.15">
      <c r="A64" s="134" t="str">
        <f t="shared" si="48"/>
        <v>2019-07</v>
      </c>
      <c r="B64" s="133">
        <f t="shared" si="49"/>
        <v>158.38817067539588</v>
      </c>
      <c r="C64" s="133">
        <f t="shared" si="35"/>
        <v>743.31756955924902</v>
      </c>
      <c r="D64" s="133">
        <f t="shared" si="36"/>
        <v>23.101973757309668</v>
      </c>
      <c r="E64" s="133">
        <f t="shared" si="37"/>
        <v>473.412139794751</v>
      </c>
      <c r="F64" s="133">
        <f t="shared" si="38"/>
        <v>2.4151034093711035</v>
      </c>
      <c r="G64" s="133">
        <f t="shared" si="39"/>
        <v>1615.0555739403155</v>
      </c>
      <c r="H64" s="133">
        <f t="shared" si="40"/>
        <v>653.3758703879023</v>
      </c>
      <c r="I64" s="133">
        <f t="shared" si="41"/>
        <v>74.209408134249273</v>
      </c>
      <c r="J64" s="133">
        <f t="shared" si="42"/>
        <v>137.33345150913576</v>
      </c>
      <c r="K64" s="133">
        <f t="shared" si="43"/>
        <v>22.943859085015038</v>
      </c>
      <c r="L64" s="133">
        <f t="shared" si="44"/>
        <v>40.083517774805763</v>
      </c>
      <c r="M64" s="133">
        <f t="shared" si="45"/>
        <v>1.3587267064003712</v>
      </c>
      <c r="N64" s="133">
        <f t="shared" si="46"/>
        <v>3944.9953647339007</v>
      </c>
      <c r="P64" s="134" t="str">
        <f t="shared" si="50"/>
        <v>2019-07</v>
      </c>
      <c r="Q64" s="132">
        <v>162189.48677160539</v>
      </c>
      <c r="R64" s="132">
        <v>761157.191228671</v>
      </c>
      <c r="S64" s="132">
        <v>23656.4211274851</v>
      </c>
      <c r="T64" s="132">
        <v>484774.03114982502</v>
      </c>
      <c r="U64" s="132">
        <v>2473.0658911960099</v>
      </c>
      <c r="V64" s="132">
        <v>1653816.9077148831</v>
      </c>
      <c r="W64" s="132">
        <v>669056.89127721195</v>
      </c>
      <c r="X64" s="132">
        <v>75990.433929471255</v>
      </c>
      <c r="Y64" s="132">
        <v>140629.45434535501</v>
      </c>
      <c r="Z64" s="132">
        <v>23494.511703055399</v>
      </c>
      <c r="AA64" s="132">
        <v>41045.522201401101</v>
      </c>
      <c r="AB64" s="132">
        <v>1391.3361473539801</v>
      </c>
      <c r="AC64" s="167">
        <f t="shared" si="47"/>
        <v>4039675.2534875143</v>
      </c>
    </row>
    <row r="65" spans="1:29" x14ac:dyDescent="0.15">
      <c r="A65" s="134" t="str">
        <f t="shared" si="48"/>
        <v>2019-08</v>
      </c>
      <c r="B65" s="133">
        <f t="shared" si="49"/>
        <v>98.718510052006394</v>
      </c>
      <c r="C65" s="133">
        <f t="shared" si="35"/>
        <v>826.35138826061518</v>
      </c>
      <c r="D65" s="133">
        <f t="shared" si="36"/>
        <v>30.902856526307911</v>
      </c>
      <c r="E65" s="133">
        <f t="shared" si="37"/>
        <v>382.20966166450097</v>
      </c>
      <c r="F65" s="133">
        <f t="shared" si="38"/>
        <v>2.084728367484785</v>
      </c>
      <c r="G65" s="133">
        <f t="shared" si="39"/>
        <v>1903.4026415928774</v>
      </c>
      <c r="H65" s="133">
        <f t="shared" si="40"/>
        <v>640.62690703156545</v>
      </c>
      <c r="I65" s="133">
        <f t="shared" si="41"/>
        <v>46.245816036327533</v>
      </c>
      <c r="J65" s="133">
        <f t="shared" si="42"/>
        <v>134.97371599004396</v>
      </c>
      <c r="K65" s="133">
        <f t="shared" si="43"/>
        <v>11.840703256117774</v>
      </c>
      <c r="L65" s="133">
        <f t="shared" si="44"/>
        <v>48.882765746330662</v>
      </c>
      <c r="M65" s="133">
        <f t="shared" si="45"/>
        <v>1.0337931316926172</v>
      </c>
      <c r="N65" s="133">
        <f t="shared" si="46"/>
        <v>4127.2734876558707</v>
      </c>
      <c r="P65" s="134" t="str">
        <f t="shared" si="50"/>
        <v>2019-08</v>
      </c>
      <c r="Q65" s="132">
        <v>101087.75429325455</v>
      </c>
      <c r="R65" s="132">
        <v>846183.82157886995</v>
      </c>
      <c r="S65" s="132">
        <v>31644.525082939301</v>
      </c>
      <c r="T65" s="132">
        <v>391382.69354444899</v>
      </c>
      <c r="U65" s="132">
        <v>2134.7618483044198</v>
      </c>
      <c r="V65" s="132">
        <v>1949084.3049911065</v>
      </c>
      <c r="W65" s="132">
        <v>656001.95280032302</v>
      </c>
      <c r="X65" s="132">
        <v>47355.715621199393</v>
      </c>
      <c r="Y65" s="132">
        <v>138213.08517380501</v>
      </c>
      <c r="Z65" s="132">
        <v>12124.8801342646</v>
      </c>
      <c r="AA65" s="132">
        <v>50055.952124242598</v>
      </c>
      <c r="AB65" s="132">
        <v>1058.60416685324</v>
      </c>
      <c r="AC65" s="167">
        <f t="shared" si="47"/>
        <v>4226328.0513596116</v>
      </c>
    </row>
    <row r="66" spans="1:29" x14ac:dyDescent="0.15">
      <c r="A66" s="134" t="str">
        <f t="shared" si="48"/>
        <v>2019-09</v>
      </c>
      <c r="B66" s="133">
        <f t="shared" si="49"/>
        <v>145.54863156436096</v>
      </c>
      <c r="C66" s="133">
        <f t="shared" si="35"/>
        <v>653.4559344996934</v>
      </c>
      <c r="D66" s="133">
        <f t="shared" si="36"/>
        <v>22.308639581425194</v>
      </c>
      <c r="E66" s="133">
        <f t="shared" si="37"/>
        <v>502.32187939239356</v>
      </c>
      <c r="F66" s="133">
        <f t="shared" si="38"/>
        <v>2.1819344125387889</v>
      </c>
      <c r="G66" s="133">
        <f t="shared" si="39"/>
        <v>352.56650737410939</v>
      </c>
      <c r="H66" s="133">
        <f t="shared" si="40"/>
        <v>915.00405557882232</v>
      </c>
      <c r="I66" s="133">
        <f t="shared" si="41"/>
        <v>48.320125995243828</v>
      </c>
      <c r="J66" s="133">
        <f t="shared" si="42"/>
        <v>154.07661211092187</v>
      </c>
      <c r="K66" s="133">
        <f t="shared" si="43"/>
        <v>12.708847916646777</v>
      </c>
      <c r="L66" s="133">
        <f t="shared" si="44"/>
        <v>82.896519036966311</v>
      </c>
      <c r="M66" s="133">
        <f t="shared" si="45"/>
        <v>1.0856193298204688</v>
      </c>
      <c r="N66" s="133">
        <f t="shared" si="46"/>
        <v>2892.4753067929428</v>
      </c>
      <c r="P66" s="134" t="str">
        <f t="shared" si="50"/>
        <v>2019-09</v>
      </c>
      <c r="Q66" s="132">
        <v>149041.79872190562</v>
      </c>
      <c r="R66" s="132">
        <v>669138.87692768604</v>
      </c>
      <c r="S66" s="132">
        <v>22844.046931379398</v>
      </c>
      <c r="T66" s="132">
        <v>514377.604497811</v>
      </c>
      <c r="U66" s="132">
        <v>2234.3008384397199</v>
      </c>
      <c r="V66" s="132">
        <v>361028.10355108802</v>
      </c>
      <c r="W66" s="132">
        <v>936964.15291271405</v>
      </c>
      <c r="X66" s="132">
        <v>49479.80901912968</v>
      </c>
      <c r="Y66" s="132">
        <v>157774.450801584</v>
      </c>
      <c r="Z66" s="132">
        <v>13013.860266646299</v>
      </c>
      <c r="AA66" s="132">
        <v>84886.035493853502</v>
      </c>
      <c r="AB66" s="132">
        <v>1111.6741937361601</v>
      </c>
      <c r="AC66" s="167">
        <f t="shared" si="47"/>
        <v>2961894.7141559734</v>
      </c>
    </row>
    <row r="67" spans="1:29" x14ac:dyDescent="0.15">
      <c r="A67" s="135" t="s">
        <v>17</v>
      </c>
      <c r="B67" s="133">
        <f>SUM(B55:B66)</f>
        <v>3142.6228653905268</v>
      </c>
      <c r="C67" s="133">
        <f t="shared" ref="C67:M67" si="51">SUM(C55:C66)</f>
        <v>7046.9466499104692</v>
      </c>
      <c r="D67" s="133">
        <f t="shared" si="51"/>
        <v>247.40886884517704</v>
      </c>
      <c r="E67" s="133">
        <f t="shared" si="51"/>
        <v>5609.586306892762</v>
      </c>
      <c r="F67" s="133">
        <f t="shared" si="51"/>
        <v>26.237466519949471</v>
      </c>
      <c r="G67" s="133">
        <f t="shared" si="51"/>
        <v>7854.7410374871542</v>
      </c>
      <c r="H67" s="133">
        <f t="shared" si="51"/>
        <v>9631.8542780975458</v>
      </c>
      <c r="I67" s="133">
        <f t="shared" si="51"/>
        <v>741.94191730615671</v>
      </c>
      <c r="J67" s="133">
        <f t="shared" si="51"/>
        <v>1419.2565291333219</v>
      </c>
      <c r="K67" s="133">
        <f t="shared" si="51"/>
        <v>334.68256025501478</v>
      </c>
      <c r="L67" s="133">
        <f t="shared" si="51"/>
        <v>608.16590161141198</v>
      </c>
      <c r="M67" s="133">
        <f t="shared" si="51"/>
        <v>13.233766058233382</v>
      </c>
      <c r="N67" s="133">
        <f t="shared" si="46"/>
        <v>36676.67814750773</v>
      </c>
      <c r="P67" s="135" t="s">
        <v>17</v>
      </c>
      <c r="Q67" s="167">
        <f>SUM(Q55:Q66)</f>
        <v>3218045.8141598995</v>
      </c>
      <c r="R67" s="167">
        <f t="shared" ref="R67:AC67" si="52">SUM(R55:R66)</f>
        <v>7216073.3695083205</v>
      </c>
      <c r="S67" s="167">
        <f t="shared" si="52"/>
        <v>253346.68169746129</v>
      </c>
      <c r="T67" s="167">
        <f t="shared" si="52"/>
        <v>5744216.3782581883</v>
      </c>
      <c r="U67" s="167">
        <f t="shared" si="52"/>
        <v>26867.165716428259</v>
      </c>
      <c r="V67" s="167">
        <f t="shared" si="52"/>
        <v>8043254.8223868459</v>
      </c>
      <c r="W67" s="167">
        <f t="shared" si="52"/>
        <v>9863018.7807718869</v>
      </c>
      <c r="X67" s="167">
        <f t="shared" si="52"/>
        <v>759748.52332150447</v>
      </c>
      <c r="Y67" s="167">
        <f t="shared" si="52"/>
        <v>1453318.6858325216</v>
      </c>
      <c r="Z67" s="167">
        <f t="shared" si="52"/>
        <v>342714.94170113513</v>
      </c>
      <c r="AA67" s="167">
        <f t="shared" si="52"/>
        <v>622761.88325008587</v>
      </c>
      <c r="AB67" s="167">
        <f t="shared" si="52"/>
        <v>13551.376443630983</v>
      </c>
      <c r="AC67" s="167">
        <f t="shared" si="52"/>
        <v>37556918.423047908</v>
      </c>
    </row>
    <row r="68" spans="1:29" x14ac:dyDescent="0.15">
      <c r="A68" s="137" t="s">
        <v>31</v>
      </c>
      <c r="B68" s="136">
        <f>AVERAGE(B55:B66)</f>
        <v>261.88523878254392</v>
      </c>
      <c r="C68" s="136">
        <f t="shared" ref="C68:M68" si="53">AVERAGE(C55:C66)</f>
        <v>587.24555415920577</v>
      </c>
      <c r="D68" s="136">
        <f t="shared" si="53"/>
        <v>20.617405737098085</v>
      </c>
      <c r="E68" s="136">
        <f t="shared" si="53"/>
        <v>467.46552557439685</v>
      </c>
      <c r="F68" s="136">
        <f t="shared" si="53"/>
        <v>2.1864555433291226</v>
      </c>
      <c r="G68" s="136">
        <f t="shared" si="53"/>
        <v>654.56175312392952</v>
      </c>
      <c r="H68" s="136">
        <f t="shared" si="53"/>
        <v>802.65452317479549</v>
      </c>
      <c r="I68" s="136">
        <f t="shared" si="53"/>
        <v>61.828493108846395</v>
      </c>
      <c r="J68" s="136">
        <f t="shared" si="53"/>
        <v>118.27137742777683</v>
      </c>
      <c r="K68" s="136">
        <f t="shared" si="53"/>
        <v>27.890213354584564</v>
      </c>
      <c r="L68" s="136">
        <f t="shared" si="53"/>
        <v>50.680491800950996</v>
      </c>
      <c r="M68" s="136">
        <f t="shared" si="53"/>
        <v>1.1028138381861152</v>
      </c>
    </row>
    <row r="69" spans="1:29" x14ac:dyDescent="0.15">
      <c r="A69" s="229" t="s">
        <v>146</v>
      </c>
      <c r="B69" s="225">
        <v>2313.0587907771337</v>
      </c>
      <c r="C69" s="225">
        <v>4765.1611050831152</v>
      </c>
      <c r="D69" s="225">
        <v>204.15549725133349</v>
      </c>
      <c r="E69" s="225">
        <v>5034.0588623252679</v>
      </c>
      <c r="F69" s="225">
        <v>12.591962663170269</v>
      </c>
      <c r="G69" s="225">
        <v>4591.9783496847376</v>
      </c>
      <c r="H69" s="225">
        <v>3807.4714743847521</v>
      </c>
      <c r="I69" s="225">
        <v>542.40039763831942</v>
      </c>
      <c r="J69" s="225">
        <v>1277.2397893217526</v>
      </c>
      <c r="K69" s="225">
        <v>369.99535867868644</v>
      </c>
      <c r="L69" s="225">
        <v>575.22878332717403</v>
      </c>
      <c r="M69" s="225">
        <v>8.5406350103512469</v>
      </c>
      <c r="N69" s="133">
        <f>SUM(B69:M69)</f>
        <v>23501.881006145795</v>
      </c>
      <c r="P69" s="35"/>
    </row>
    <row r="71" spans="1:29" x14ac:dyDescent="0.15">
      <c r="B71" s="357" t="s">
        <v>32</v>
      </c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</row>
    <row r="72" spans="1:29" ht="28" x14ac:dyDescent="0.15">
      <c r="A72" s="170" t="s">
        <v>18</v>
      </c>
      <c r="B72" s="171" t="s">
        <v>5</v>
      </c>
      <c r="C72" s="171" t="s">
        <v>6</v>
      </c>
      <c r="D72" s="171" t="s">
        <v>7</v>
      </c>
      <c r="E72" s="171" t="s">
        <v>8</v>
      </c>
      <c r="F72" s="171" t="s">
        <v>9</v>
      </c>
      <c r="G72" s="172" t="s">
        <v>16</v>
      </c>
      <c r="H72" s="173" t="s">
        <v>133</v>
      </c>
      <c r="I72" s="172" t="s">
        <v>10</v>
      </c>
      <c r="J72" s="172" t="s">
        <v>19</v>
      </c>
      <c r="K72" s="172" t="s">
        <v>11</v>
      </c>
      <c r="L72" s="172" t="s">
        <v>14</v>
      </c>
      <c r="M72" s="172" t="s">
        <v>12</v>
      </c>
    </row>
    <row r="73" spans="1:29" x14ac:dyDescent="0.15">
      <c r="A73" s="217">
        <f>A21</f>
        <v>43374</v>
      </c>
      <c r="B73" s="218">
        <f>B55-B$68</f>
        <v>18.212777930083973</v>
      </c>
      <c r="C73" s="218">
        <f t="shared" ref="C73:L73" si="54">C55-C$68</f>
        <v>-232.05667760064523</v>
      </c>
      <c r="D73" s="218">
        <f t="shared" si="54"/>
        <v>-1.5935257108230871</v>
      </c>
      <c r="E73" s="218">
        <f t="shared" si="54"/>
        <v>41.525166942304338</v>
      </c>
      <c r="F73" s="218">
        <f t="shared" si="54"/>
        <v>8.1614255878287878</v>
      </c>
      <c r="G73" s="218">
        <f t="shared" si="54"/>
        <v>-292.4073037367516</v>
      </c>
      <c r="H73" s="218">
        <f t="shared" si="54"/>
        <v>34.020464701321657</v>
      </c>
      <c r="I73" s="218">
        <f t="shared" si="54"/>
        <v>10.515374076759151</v>
      </c>
      <c r="J73" s="218">
        <f t="shared" si="54"/>
        <v>-9.0466024826342419</v>
      </c>
      <c r="K73" s="218">
        <f t="shared" si="54"/>
        <v>48.170961814420323</v>
      </c>
      <c r="L73" s="218">
        <f t="shared" si="54"/>
        <v>-3.7866149945074383</v>
      </c>
      <c r="M73" s="218">
        <f>M55-M$16</f>
        <v>0.67506427259057944</v>
      </c>
      <c r="N73" s="14"/>
      <c r="O73" s="14"/>
    </row>
    <row r="74" spans="1:29" x14ac:dyDescent="0.15">
      <c r="A74" s="217">
        <f t="shared" ref="A74:A84" si="55">A22</f>
        <v>43405</v>
      </c>
      <c r="B74" s="218">
        <f t="shared" ref="B74:L74" si="56">B56-B$68</f>
        <v>25.011819155888077</v>
      </c>
      <c r="C74" s="218">
        <f t="shared" si="56"/>
        <v>-205.44299125715696</v>
      </c>
      <c r="D74" s="218">
        <f t="shared" si="56"/>
        <v>-1.2895534459894904</v>
      </c>
      <c r="E74" s="218">
        <f t="shared" si="56"/>
        <v>-6.159409543494121E-2</v>
      </c>
      <c r="F74" s="218">
        <f t="shared" si="56"/>
        <v>-1.0173573456174039</v>
      </c>
      <c r="G74" s="218">
        <f t="shared" si="56"/>
        <v>-123.97474941610596</v>
      </c>
      <c r="H74" s="218">
        <f t="shared" si="56"/>
        <v>42.087589803751371</v>
      </c>
      <c r="I74" s="218">
        <f t="shared" si="56"/>
        <v>-23.004534899329855</v>
      </c>
      <c r="J74" s="218">
        <f t="shared" si="56"/>
        <v>-16.195670611168424</v>
      </c>
      <c r="K74" s="218">
        <f t="shared" si="56"/>
        <v>19.168835831618171</v>
      </c>
      <c r="L74" s="218">
        <f t="shared" si="56"/>
        <v>-0.33142851398849871</v>
      </c>
      <c r="M74" s="218">
        <f t="shared" ref="M74:M84" si="57">M56-M$16</f>
        <v>0.76673302690368395</v>
      </c>
    </row>
    <row r="75" spans="1:29" x14ac:dyDescent="0.15">
      <c r="A75" s="217">
        <f t="shared" si="55"/>
        <v>43435</v>
      </c>
      <c r="B75" s="218">
        <f t="shared" ref="B75:L75" si="58">B57-B$68</f>
        <v>2.4405519212327818</v>
      </c>
      <c r="C75" s="218">
        <f t="shared" si="58"/>
        <v>-231.83317361413253</v>
      </c>
      <c r="D75" s="218">
        <f t="shared" si="58"/>
        <v>-2.2634776055920298</v>
      </c>
      <c r="E75" s="218">
        <f t="shared" si="58"/>
        <v>-95.044113280232807</v>
      </c>
      <c r="F75" s="218">
        <f t="shared" si="58"/>
        <v>-1.8889508644594235</v>
      </c>
      <c r="G75" s="218">
        <f t="shared" si="58"/>
        <v>-171.39394727213266</v>
      </c>
      <c r="H75" s="218">
        <f t="shared" si="58"/>
        <v>-24.273904476228154</v>
      </c>
      <c r="I75" s="218">
        <f t="shared" si="58"/>
        <v>-5.564099788328285</v>
      </c>
      <c r="J75" s="218">
        <f t="shared" si="58"/>
        <v>13.145826762707543</v>
      </c>
      <c r="K75" s="218">
        <f t="shared" si="58"/>
        <v>-4.6938493781907162</v>
      </c>
      <c r="L75" s="218">
        <f t="shared" si="58"/>
        <v>13.695999938101643</v>
      </c>
      <c r="M75" s="218">
        <f t="shared" si="57"/>
        <v>0.60753243339194274</v>
      </c>
    </row>
    <row r="76" spans="1:29" x14ac:dyDescent="0.15">
      <c r="A76" s="217">
        <f t="shared" si="55"/>
        <v>43466</v>
      </c>
      <c r="B76" s="218">
        <f t="shared" ref="B76:L76" si="59">B58-B$68</f>
        <v>229.71959466814189</v>
      </c>
      <c r="C76" s="218">
        <f t="shared" si="59"/>
        <v>-430.20406142262959</v>
      </c>
      <c r="D76" s="218">
        <f t="shared" si="59"/>
        <v>-2.6223367575803103</v>
      </c>
      <c r="E76" s="218">
        <f t="shared" si="59"/>
        <v>-101.74040626862148</v>
      </c>
      <c r="F76" s="218">
        <f t="shared" si="59"/>
        <v>-0.28280107926972819</v>
      </c>
      <c r="G76" s="218">
        <f t="shared" si="59"/>
        <v>-197.02999834933331</v>
      </c>
      <c r="H76" s="218">
        <f t="shared" si="59"/>
        <v>74.714388588055044</v>
      </c>
      <c r="I76" s="218">
        <f t="shared" si="59"/>
        <v>38.661128492049436</v>
      </c>
      <c r="J76" s="218">
        <f t="shared" si="59"/>
        <v>72.838181502676292</v>
      </c>
      <c r="K76" s="218">
        <f t="shared" si="59"/>
        <v>-4.4006503825139589</v>
      </c>
      <c r="L76" s="218">
        <f t="shared" si="59"/>
        <v>-4.0863352358455245</v>
      </c>
      <c r="M76" s="218">
        <f t="shared" si="57"/>
        <v>0.67002238636040556</v>
      </c>
    </row>
    <row r="77" spans="1:29" x14ac:dyDescent="0.15">
      <c r="A77" s="217">
        <f t="shared" si="55"/>
        <v>43497</v>
      </c>
      <c r="B77" s="218">
        <f t="shared" ref="B77:L77" si="60">B59-B$68</f>
        <v>72.66871336412845</v>
      </c>
      <c r="C77" s="218">
        <f t="shared" si="60"/>
        <v>3.2150387440021859</v>
      </c>
      <c r="D77" s="218">
        <f t="shared" si="60"/>
        <v>-3.8301943083815821</v>
      </c>
      <c r="E77" s="218">
        <f t="shared" si="60"/>
        <v>22.518004526824825</v>
      </c>
      <c r="F77" s="218">
        <f t="shared" si="60"/>
        <v>-0.86178694181732585</v>
      </c>
      <c r="G77" s="218">
        <f t="shared" si="60"/>
        <v>-207.8566187423196</v>
      </c>
      <c r="H77" s="218">
        <f t="shared" si="60"/>
        <v>51.829596369393016</v>
      </c>
      <c r="I77" s="218">
        <f t="shared" si="60"/>
        <v>-11.05808187906036</v>
      </c>
      <c r="J77" s="218">
        <f t="shared" si="60"/>
        <v>-36.315807528940795</v>
      </c>
      <c r="K77" s="218">
        <f t="shared" si="60"/>
        <v>-9.5512122675610271</v>
      </c>
      <c r="L77" s="218">
        <f t="shared" si="60"/>
        <v>-7.5316603226064629</v>
      </c>
      <c r="M77" s="218">
        <f t="shared" si="57"/>
        <v>0.64126827504923278</v>
      </c>
    </row>
    <row r="78" spans="1:29" x14ac:dyDescent="0.15">
      <c r="A78" s="217">
        <f t="shared" si="55"/>
        <v>43525</v>
      </c>
      <c r="B78" s="218">
        <f t="shared" ref="B78:L78" si="61">B60-B$68</f>
        <v>195.6786673345519</v>
      </c>
      <c r="C78" s="218">
        <f t="shared" si="61"/>
        <v>253.12285494745731</v>
      </c>
      <c r="D78" s="218">
        <f t="shared" si="61"/>
        <v>-0.42243664780013646</v>
      </c>
      <c r="E78" s="218">
        <f t="shared" si="61"/>
        <v>102.56847133335901</v>
      </c>
      <c r="F78" s="218">
        <f t="shared" si="61"/>
        <v>-0.80591710140985495</v>
      </c>
      <c r="G78" s="218">
        <f t="shared" si="61"/>
        <v>-159.47844246722281</v>
      </c>
      <c r="H78" s="218">
        <f t="shared" si="61"/>
        <v>88.415200343783567</v>
      </c>
      <c r="I78" s="218">
        <f t="shared" si="61"/>
        <v>-39.202629531573578</v>
      </c>
      <c r="J78" s="218">
        <f t="shared" si="61"/>
        <v>-30.492105108510813</v>
      </c>
      <c r="K78" s="218">
        <f t="shared" si="61"/>
        <v>6.3892656358421966</v>
      </c>
      <c r="L78" s="218">
        <f t="shared" si="61"/>
        <v>-0.90428221880656423</v>
      </c>
      <c r="M78" s="218">
        <f t="shared" si="57"/>
        <v>0.7877331026088441</v>
      </c>
    </row>
    <row r="79" spans="1:29" x14ac:dyDescent="0.15">
      <c r="A79" s="217">
        <f t="shared" si="55"/>
        <v>43556</v>
      </c>
      <c r="B79" s="218">
        <f t="shared" ref="B79:L79" si="62">B61-B$68</f>
        <v>-112.698689134662</v>
      </c>
      <c r="C79" s="218">
        <f t="shared" si="62"/>
        <v>-49.927041559886447</v>
      </c>
      <c r="D79" s="218">
        <f t="shared" si="62"/>
        <v>-1.977211351465467</v>
      </c>
      <c r="E79" s="218">
        <f t="shared" si="62"/>
        <v>36.592302454371691</v>
      </c>
      <c r="F79" s="218">
        <f t="shared" si="62"/>
        <v>-0.20495766273931793</v>
      </c>
      <c r="G79" s="218">
        <f t="shared" si="62"/>
        <v>-283.29368448179542</v>
      </c>
      <c r="H79" s="218">
        <f t="shared" si="62"/>
        <v>42.144159475729907</v>
      </c>
      <c r="I79" s="218">
        <f t="shared" si="62"/>
        <v>10.057508568447737</v>
      </c>
      <c r="J79" s="218">
        <f t="shared" si="62"/>
        <v>-30.053186242876635</v>
      </c>
      <c r="K79" s="218">
        <f t="shared" si="62"/>
        <v>-12.092559844165814</v>
      </c>
      <c r="L79" s="218">
        <f t="shared" si="62"/>
        <v>4.894595199096365</v>
      </c>
      <c r="M79" s="218">
        <f t="shared" si="57"/>
        <v>1.8726996303926011</v>
      </c>
    </row>
    <row r="80" spans="1:29" x14ac:dyDescent="0.15">
      <c r="A80" s="217">
        <f t="shared" si="55"/>
        <v>43586</v>
      </c>
      <c r="B80" s="218">
        <f t="shared" ref="B80:L80" si="63">B62-B$68</f>
        <v>94.295810405786597</v>
      </c>
      <c r="C80" s="218">
        <f t="shared" si="63"/>
        <v>158.61660808060378</v>
      </c>
      <c r="D80" s="218">
        <f t="shared" si="63"/>
        <v>0.91474562781236202</v>
      </c>
      <c r="E80" s="218">
        <f t="shared" si="63"/>
        <v>33.182687629846328</v>
      </c>
      <c r="F80" s="218">
        <f t="shared" si="63"/>
        <v>-1.4847313015349419</v>
      </c>
      <c r="G80" s="218">
        <f t="shared" si="63"/>
        <v>-292.96979644802832</v>
      </c>
      <c r="H80" s="218">
        <f t="shared" si="63"/>
        <v>69.709740044470095</v>
      </c>
      <c r="I80" s="218">
        <f t="shared" si="63"/>
        <v>19.585388339988704</v>
      </c>
      <c r="J80" s="218">
        <f t="shared" si="63"/>
        <v>-14.559847468587378</v>
      </c>
      <c r="K80" s="218">
        <f t="shared" si="63"/>
        <v>-9.8536915141824153</v>
      </c>
      <c r="L80" s="218">
        <f t="shared" si="63"/>
        <v>-10.417868533875605</v>
      </c>
      <c r="M80" s="218">
        <f t="shared" si="57"/>
        <v>1.5347777124811555</v>
      </c>
    </row>
    <row r="81" spans="1:14" x14ac:dyDescent="0.15">
      <c r="A81" s="217">
        <f t="shared" si="55"/>
        <v>43617</v>
      </c>
      <c r="B81" s="218">
        <f t="shared" ref="B81:L81" si="64">B63-B$68</f>
        <v>-142.32884158928357</v>
      </c>
      <c r="C81" s="218">
        <f t="shared" si="64"/>
        <v>273.12121384044758</v>
      </c>
      <c r="D81" s="218">
        <f t="shared" si="64"/>
        <v>-1.3772624539287506</v>
      </c>
      <c r="E81" s="218">
        <f t="shared" si="64"/>
        <v>4.9123766291275501</v>
      </c>
      <c r="F81" s="218">
        <f t="shared" si="64"/>
        <v>-1.7373228503881022</v>
      </c>
      <c r="G81" s="218">
        <f t="shared" si="64"/>
        <v>-178.93492262182383</v>
      </c>
      <c r="H81" s="218">
        <f t="shared" si="64"/>
        <v>-179.69049832417932</v>
      </c>
      <c r="I81" s="218">
        <f t="shared" si="64"/>
        <v>16.720075781765495</v>
      </c>
      <c r="J81" s="218">
        <f t="shared" si="64"/>
        <v>-20.890436149436596</v>
      </c>
      <c r="K81" s="218">
        <f t="shared" si="64"/>
        <v>3.0401299107073321</v>
      </c>
      <c r="L81" s="218">
        <f t="shared" si="64"/>
        <v>-11.353732472817597</v>
      </c>
      <c r="M81" s="218">
        <f t="shared" si="57"/>
        <v>1.158854550541478</v>
      </c>
    </row>
    <row r="82" spans="1:14" x14ac:dyDescent="0.15">
      <c r="A82" s="217">
        <f t="shared" si="55"/>
        <v>43647</v>
      </c>
      <c r="B82" s="218">
        <f t="shared" ref="B82:L82" si="65">B64-B$68</f>
        <v>-103.49706810714804</v>
      </c>
      <c r="C82" s="218">
        <f t="shared" si="65"/>
        <v>156.07201540004326</v>
      </c>
      <c r="D82" s="218">
        <f t="shared" si="65"/>
        <v>2.484568020211583</v>
      </c>
      <c r="E82" s="218">
        <f t="shared" si="65"/>
        <v>5.9466142203541494</v>
      </c>
      <c r="F82" s="218">
        <f t="shared" si="65"/>
        <v>0.22864786604198084</v>
      </c>
      <c r="G82" s="218">
        <f t="shared" si="65"/>
        <v>960.49382081638601</v>
      </c>
      <c r="H82" s="218">
        <f t="shared" si="65"/>
        <v>-149.27865278689319</v>
      </c>
      <c r="I82" s="218">
        <f t="shared" si="65"/>
        <v>12.380915025402878</v>
      </c>
      <c r="J82" s="218">
        <f t="shared" si="65"/>
        <v>19.062074081358929</v>
      </c>
      <c r="K82" s="218">
        <f t="shared" si="65"/>
        <v>-4.9463542695695253</v>
      </c>
      <c r="L82" s="218">
        <f t="shared" si="65"/>
        <v>-10.596974026145233</v>
      </c>
      <c r="M82" s="218">
        <f t="shared" si="57"/>
        <v>1.2430665397337046</v>
      </c>
    </row>
    <row r="83" spans="1:14" x14ac:dyDescent="0.15">
      <c r="A83" s="217">
        <f t="shared" si="55"/>
        <v>43678</v>
      </c>
      <c r="B83" s="218">
        <f t="shared" ref="B83:L83" si="66">B65-B$68</f>
        <v>-163.16672873053753</v>
      </c>
      <c r="C83" s="218">
        <f t="shared" si="66"/>
        <v>239.10583410140941</v>
      </c>
      <c r="D83" s="218">
        <f t="shared" si="66"/>
        <v>10.285450789209825</v>
      </c>
      <c r="E83" s="218">
        <f t="shared" si="66"/>
        <v>-85.255863909895879</v>
      </c>
      <c r="F83" s="218">
        <f t="shared" si="66"/>
        <v>-0.10172717584433766</v>
      </c>
      <c r="G83" s="218">
        <f t="shared" si="66"/>
        <v>1248.8408884689479</v>
      </c>
      <c r="H83" s="218">
        <f t="shared" si="66"/>
        <v>-162.02761614323003</v>
      </c>
      <c r="I83" s="218">
        <f t="shared" si="66"/>
        <v>-15.582677072518862</v>
      </c>
      <c r="J83" s="218">
        <f t="shared" si="66"/>
        <v>16.70233856226713</v>
      </c>
      <c r="K83" s="218">
        <f t="shared" si="66"/>
        <v>-16.04951009846679</v>
      </c>
      <c r="L83" s="218">
        <f t="shared" si="66"/>
        <v>-1.797726054620334</v>
      </c>
      <c r="M83" s="218">
        <f t="shared" si="57"/>
        <v>0.91813296502595054</v>
      </c>
    </row>
    <row r="84" spans="1:14" x14ac:dyDescent="0.15">
      <c r="A84" s="217">
        <f t="shared" si="55"/>
        <v>43709</v>
      </c>
      <c r="B84" s="218">
        <f t="shared" ref="B84:L84" si="67">B66-B$68</f>
        <v>-116.33660721818296</v>
      </c>
      <c r="C84" s="218">
        <f t="shared" si="67"/>
        <v>66.210380340487632</v>
      </c>
      <c r="D84" s="218">
        <f t="shared" si="67"/>
        <v>1.6912338443271082</v>
      </c>
      <c r="E84" s="218">
        <f t="shared" si="67"/>
        <v>34.856353817996705</v>
      </c>
      <c r="F84" s="218">
        <f t="shared" si="67"/>
        <v>-4.5211307903336717E-3</v>
      </c>
      <c r="G84" s="218">
        <f t="shared" si="67"/>
        <v>-301.99524574982013</v>
      </c>
      <c r="H84" s="218">
        <f t="shared" si="67"/>
        <v>112.34953240402683</v>
      </c>
      <c r="I84" s="218">
        <f t="shared" si="67"/>
        <v>-13.508367113602567</v>
      </c>
      <c r="J84" s="218">
        <f t="shared" si="67"/>
        <v>35.805234683145045</v>
      </c>
      <c r="K84" s="218">
        <f t="shared" si="67"/>
        <v>-15.181365437937787</v>
      </c>
      <c r="L84" s="218">
        <f t="shared" si="67"/>
        <v>32.216027236015314</v>
      </c>
      <c r="M84" s="218">
        <f t="shared" si="57"/>
        <v>0.96995916315380215</v>
      </c>
    </row>
    <row r="85" spans="1:14" x14ac:dyDescent="0.15">
      <c r="A85" s="170" t="s">
        <v>13</v>
      </c>
      <c r="B85" s="219">
        <f>SUM(B73:B84)</f>
        <v>-4.2632564145606011E-13</v>
      </c>
      <c r="C85" s="219">
        <f t="shared" ref="C85:M85" si="68">SUM(C73:C84)</f>
        <v>3.4106051316484809E-13</v>
      </c>
      <c r="D85" s="219">
        <f t="shared" si="68"/>
        <v>2.4868995751603507E-14</v>
      </c>
      <c r="E85" s="219">
        <f t="shared" si="68"/>
        <v>-5.1159076974727213E-13</v>
      </c>
      <c r="F85" s="219">
        <f t="shared" si="68"/>
        <v>-1.1102230246251565E-15</v>
      </c>
      <c r="G85" s="219">
        <f t="shared" si="68"/>
        <v>0</v>
      </c>
      <c r="H85" s="219">
        <f t="shared" si="68"/>
        <v>7.9580786405131221E-13</v>
      </c>
      <c r="I85" s="219">
        <f t="shared" si="68"/>
        <v>-1.0658141036401503E-13</v>
      </c>
      <c r="J85" s="219">
        <f t="shared" si="68"/>
        <v>5.6843418860808015E-14</v>
      </c>
      <c r="K85" s="219">
        <f t="shared" si="68"/>
        <v>-2.3092638912203256E-14</v>
      </c>
      <c r="L85" s="219">
        <f t="shared" si="68"/>
        <v>6.3948846218409017E-14</v>
      </c>
      <c r="M85" s="219">
        <f t="shared" si="68"/>
        <v>11.845844058233379</v>
      </c>
    </row>
    <row r="86" spans="1:14" x14ac:dyDescent="0.1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4" x14ac:dyDescent="0.15">
      <c r="B87" s="357" t="s">
        <v>33</v>
      </c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</row>
    <row r="88" spans="1:14" ht="28" x14ac:dyDescent="0.15">
      <c r="A88" s="170" t="s">
        <v>18</v>
      </c>
      <c r="B88" s="171" t="s">
        <v>5</v>
      </c>
      <c r="C88" s="171" t="s">
        <v>6</v>
      </c>
      <c r="D88" s="171" t="s">
        <v>7</v>
      </c>
      <c r="E88" s="171" t="s">
        <v>8</v>
      </c>
      <c r="F88" s="171" t="s">
        <v>9</v>
      </c>
      <c r="G88" s="172" t="s">
        <v>16</v>
      </c>
      <c r="H88" s="173" t="s">
        <v>133</v>
      </c>
      <c r="I88" s="172" t="s">
        <v>10</v>
      </c>
      <c r="J88" s="172" t="s">
        <v>19</v>
      </c>
      <c r="K88" s="172" t="s">
        <v>11</v>
      </c>
      <c r="L88" s="172" t="s">
        <v>14</v>
      </c>
      <c r="M88" s="172" t="s">
        <v>12</v>
      </c>
    </row>
    <row r="89" spans="1:14" x14ac:dyDescent="0.15">
      <c r="A89" s="217">
        <f>A73</f>
        <v>43374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</row>
    <row r="90" spans="1:14" x14ac:dyDescent="0.15">
      <c r="A90" s="217">
        <f t="shared" ref="A90:A100" si="69">A74</f>
        <v>43405</v>
      </c>
      <c r="B90" s="218">
        <f>B56-B55</f>
        <v>6.7990412258041033</v>
      </c>
      <c r="C90" s="218">
        <f t="shared" ref="C90:M90" si="70">C56-C55</f>
        <v>26.613686343488268</v>
      </c>
      <c r="D90" s="218">
        <f t="shared" si="70"/>
        <v>0.30397226483359674</v>
      </c>
      <c r="E90" s="218">
        <f t="shared" si="70"/>
        <v>-41.586761037739279</v>
      </c>
      <c r="F90" s="218">
        <f t="shared" si="70"/>
        <v>-9.1787829334461914</v>
      </c>
      <c r="G90" s="218">
        <f t="shared" si="70"/>
        <v>168.43255432064564</v>
      </c>
      <c r="H90" s="218">
        <f t="shared" si="70"/>
        <v>8.0671251024297135</v>
      </c>
      <c r="I90" s="218">
        <f t="shared" si="70"/>
        <v>-33.519908976089006</v>
      </c>
      <c r="J90" s="218">
        <f t="shared" si="70"/>
        <v>-7.1490681285341822</v>
      </c>
      <c r="K90" s="218">
        <f t="shared" si="70"/>
        <v>-29.002125982802148</v>
      </c>
      <c r="L90" s="218">
        <f t="shared" si="70"/>
        <v>3.4551864805189396</v>
      </c>
      <c r="M90" s="218">
        <f t="shared" si="70"/>
        <v>9.1668754313104506E-2</v>
      </c>
      <c r="N90" s="16"/>
    </row>
    <row r="91" spans="1:14" x14ac:dyDescent="0.15">
      <c r="A91" s="217">
        <f t="shared" si="69"/>
        <v>43435</v>
      </c>
      <c r="B91" s="218">
        <f t="shared" ref="B91:M91" si="71">B57-B56</f>
        <v>-22.571267234655295</v>
      </c>
      <c r="C91" s="218">
        <f t="shared" si="71"/>
        <v>-26.390182356975572</v>
      </c>
      <c r="D91" s="218">
        <f t="shared" si="71"/>
        <v>-0.97392415960253942</v>
      </c>
      <c r="E91" s="218">
        <f t="shared" si="71"/>
        <v>-94.982519184797866</v>
      </c>
      <c r="F91" s="218">
        <f t="shared" si="71"/>
        <v>-0.87159351884201952</v>
      </c>
      <c r="G91" s="218">
        <f t="shared" si="71"/>
        <v>-47.419197856026699</v>
      </c>
      <c r="H91" s="218">
        <f t="shared" si="71"/>
        <v>-66.361494279979524</v>
      </c>
      <c r="I91" s="218">
        <f t="shared" si="71"/>
        <v>17.44043511100157</v>
      </c>
      <c r="J91" s="218">
        <f t="shared" si="71"/>
        <v>29.341497373875967</v>
      </c>
      <c r="K91" s="218">
        <f t="shared" si="71"/>
        <v>-23.862685209808888</v>
      </c>
      <c r="L91" s="218">
        <f t="shared" si="71"/>
        <v>14.027428452090142</v>
      </c>
      <c r="M91" s="218">
        <f t="shared" si="71"/>
        <v>-0.15920059351174121</v>
      </c>
      <c r="N91" s="16"/>
    </row>
    <row r="92" spans="1:14" x14ac:dyDescent="0.15">
      <c r="A92" s="217">
        <f t="shared" si="69"/>
        <v>43466</v>
      </c>
      <c r="B92" s="218">
        <f t="shared" ref="B92:M92" si="72">B58-B57</f>
        <v>227.27904274690911</v>
      </c>
      <c r="C92" s="218">
        <f t="shared" si="72"/>
        <v>-198.37088780849706</v>
      </c>
      <c r="D92" s="218">
        <f t="shared" si="72"/>
        <v>-0.35885915198828044</v>
      </c>
      <c r="E92" s="218">
        <f t="shared" si="72"/>
        <v>-6.6962929883886773</v>
      </c>
      <c r="F92" s="218">
        <f t="shared" si="72"/>
        <v>1.6061497851896953</v>
      </c>
      <c r="G92" s="218">
        <f t="shared" si="72"/>
        <v>-25.636051077200648</v>
      </c>
      <c r="H92" s="218">
        <f t="shared" si="72"/>
        <v>98.988293064283198</v>
      </c>
      <c r="I92" s="218">
        <f t="shared" si="72"/>
        <v>44.225228280377721</v>
      </c>
      <c r="J92" s="218">
        <f t="shared" si="72"/>
        <v>59.692354739968749</v>
      </c>
      <c r="K92" s="218">
        <f t="shared" si="72"/>
        <v>0.29319899567675733</v>
      </c>
      <c r="L92" s="218">
        <f t="shared" si="72"/>
        <v>-17.782335173947168</v>
      </c>
      <c r="M92" s="218">
        <f t="shared" si="72"/>
        <v>6.2489952968462825E-2</v>
      </c>
      <c r="N92" s="16"/>
    </row>
    <row r="93" spans="1:14" x14ac:dyDescent="0.15">
      <c r="A93" s="217">
        <f t="shared" si="69"/>
        <v>43497</v>
      </c>
      <c r="B93" s="218">
        <f t="shared" ref="B93:M93" si="73">B59-B58</f>
        <v>-157.05088130401344</v>
      </c>
      <c r="C93" s="218">
        <f t="shared" si="73"/>
        <v>433.41910016663178</v>
      </c>
      <c r="D93" s="218">
        <f t="shared" si="73"/>
        <v>-1.2078575508012719</v>
      </c>
      <c r="E93" s="218">
        <f t="shared" si="73"/>
        <v>124.25841079544631</v>
      </c>
      <c r="F93" s="218">
        <f t="shared" si="73"/>
        <v>-0.57898586254759765</v>
      </c>
      <c r="G93" s="218">
        <f t="shared" si="73"/>
        <v>-10.826620392986285</v>
      </c>
      <c r="H93" s="218">
        <f t="shared" si="73"/>
        <v>-22.884792218662028</v>
      </c>
      <c r="I93" s="218">
        <f t="shared" si="73"/>
        <v>-49.719210371109796</v>
      </c>
      <c r="J93" s="218">
        <f t="shared" si="73"/>
        <v>-109.15398903161709</v>
      </c>
      <c r="K93" s="218">
        <f t="shared" si="73"/>
        <v>-5.1505618850470682</v>
      </c>
      <c r="L93" s="218">
        <f t="shared" si="73"/>
        <v>-3.4453250867609384</v>
      </c>
      <c r="M93" s="218">
        <f t="shared" si="73"/>
        <v>-2.8754111311172781E-2</v>
      </c>
      <c r="N93" s="16"/>
    </row>
    <row r="94" spans="1:14" x14ac:dyDescent="0.15">
      <c r="A94" s="217">
        <f t="shared" si="69"/>
        <v>43525</v>
      </c>
      <c r="B94" s="218">
        <f t="shared" ref="B94:M94" si="74">B60-B59</f>
        <v>123.00995397042345</v>
      </c>
      <c r="C94" s="218">
        <f t="shared" si="74"/>
        <v>249.90781620345513</v>
      </c>
      <c r="D94" s="218">
        <f t="shared" si="74"/>
        <v>3.4077576605814457</v>
      </c>
      <c r="E94" s="218">
        <f t="shared" si="74"/>
        <v>80.050466806534189</v>
      </c>
      <c r="F94" s="218">
        <f t="shared" si="74"/>
        <v>5.5869840407470894E-2</v>
      </c>
      <c r="G94" s="218">
        <f t="shared" si="74"/>
        <v>48.378176275096791</v>
      </c>
      <c r="H94" s="218">
        <f t="shared" si="74"/>
        <v>36.585603974390551</v>
      </c>
      <c r="I94" s="218">
        <f t="shared" si="74"/>
        <v>-28.144547652513214</v>
      </c>
      <c r="J94" s="218">
        <f t="shared" si="74"/>
        <v>5.8237024204299814</v>
      </c>
      <c r="K94" s="218">
        <f t="shared" si="74"/>
        <v>15.940477903403224</v>
      </c>
      <c r="L94" s="218">
        <f t="shared" si="74"/>
        <v>6.6273781037998987</v>
      </c>
      <c r="M94" s="218">
        <f t="shared" si="74"/>
        <v>0.14646482755961132</v>
      </c>
      <c r="N94" s="16"/>
    </row>
    <row r="95" spans="1:14" x14ac:dyDescent="0.15">
      <c r="A95" s="217">
        <f t="shared" si="69"/>
        <v>43556</v>
      </c>
      <c r="B95" s="218">
        <f t="shared" ref="B95:M95" si="75">B61-B60</f>
        <v>-308.37735646921391</v>
      </c>
      <c r="C95" s="218">
        <f t="shared" si="75"/>
        <v>-303.04989650734376</v>
      </c>
      <c r="D95" s="218">
        <f t="shared" si="75"/>
        <v>-1.5547747036653305</v>
      </c>
      <c r="E95" s="218">
        <f t="shared" si="75"/>
        <v>-65.976168878987323</v>
      </c>
      <c r="F95" s="218">
        <f t="shared" si="75"/>
        <v>0.60095943867053703</v>
      </c>
      <c r="G95" s="218">
        <f t="shared" si="75"/>
        <v>-123.81524201457262</v>
      </c>
      <c r="H95" s="218">
        <f t="shared" si="75"/>
        <v>-46.27104086805366</v>
      </c>
      <c r="I95" s="218">
        <f t="shared" si="75"/>
        <v>49.260138100021308</v>
      </c>
      <c r="J95" s="218">
        <f t="shared" si="75"/>
        <v>0.4389188656341787</v>
      </c>
      <c r="K95" s="218">
        <f t="shared" si="75"/>
        <v>-18.481825480008013</v>
      </c>
      <c r="L95" s="218">
        <f t="shared" si="75"/>
        <v>5.7988774179029292</v>
      </c>
      <c r="M95" s="218">
        <f t="shared" si="75"/>
        <v>1.0849665277837568</v>
      </c>
      <c r="N95" s="16"/>
    </row>
    <row r="96" spans="1:14" x14ac:dyDescent="0.15">
      <c r="A96" s="217">
        <f t="shared" si="69"/>
        <v>43586</v>
      </c>
      <c r="B96" s="218">
        <f t="shared" ref="B96:M96" si="76">B62-B61</f>
        <v>206.9944995404486</v>
      </c>
      <c r="C96" s="218">
        <f t="shared" si="76"/>
        <v>208.54364964049023</v>
      </c>
      <c r="D96" s="218">
        <f t="shared" si="76"/>
        <v>2.891956979277829</v>
      </c>
      <c r="E96" s="218">
        <f t="shared" si="76"/>
        <v>-3.409614824525363</v>
      </c>
      <c r="F96" s="218">
        <f t="shared" si="76"/>
        <v>-1.279773638795624</v>
      </c>
      <c r="G96" s="218">
        <f t="shared" si="76"/>
        <v>-9.6761119662328952</v>
      </c>
      <c r="H96" s="218">
        <f t="shared" si="76"/>
        <v>27.565580568740188</v>
      </c>
      <c r="I96" s="218">
        <f t="shared" si="76"/>
        <v>9.5278797715409667</v>
      </c>
      <c r="J96" s="218">
        <f t="shared" si="76"/>
        <v>15.493338774289256</v>
      </c>
      <c r="K96" s="218">
        <f t="shared" si="76"/>
        <v>2.2388683299833989</v>
      </c>
      <c r="L96" s="218">
        <f t="shared" si="76"/>
        <v>-15.31246373297197</v>
      </c>
      <c r="M96" s="218">
        <f t="shared" si="76"/>
        <v>-0.33792191791144544</v>
      </c>
      <c r="N96" s="16"/>
    </row>
    <row r="97" spans="1:35" x14ac:dyDescent="0.15">
      <c r="A97" s="217">
        <f t="shared" si="69"/>
        <v>43617</v>
      </c>
      <c r="B97" s="218">
        <f t="shared" ref="B97:M97" si="77">B63-B62</f>
        <v>-236.62465199507017</v>
      </c>
      <c r="C97" s="218">
        <f t="shared" si="77"/>
        <v>114.5046057598438</v>
      </c>
      <c r="D97" s="218">
        <f t="shared" si="77"/>
        <v>-2.2920080817411126</v>
      </c>
      <c r="E97" s="218">
        <f t="shared" si="77"/>
        <v>-28.270311000718777</v>
      </c>
      <c r="F97" s="218">
        <f t="shared" si="77"/>
        <v>-0.25259154885316021</v>
      </c>
      <c r="G97" s="218">
        <f t="shared" si="77"/>
        <v>114.03487382620449</v>
      </c>
      <c r="H97" s="218">
        <f t="shared" si="77"/>
        <v>-249.40023836864941</v>
      </c>
      <c r="I97" s="218">
        <f t="shared" si="77"/>
        <v>-2.8653125582232093</v>
      </c>
      <c r="J97" s="218">
        <f t="shared" si="77"/>
        <v>-6.3305886808492176</v>
      </c>
      <c r="K97" s="218">
        <f t="shared" si="77"/>
        <v>12.893821424889747</v>
      </c>
      <c r="L97" s="218">
        <f t="shared" si="77"/>
        <v>-0.93586393894199205</v>
      </c>
      <c r="M97" s="218">
        <f t="shared" si="77"/>
        <v>-0.37592316193967767</v>
      </c>
      <c r="N97" s="16"/>
    </row>
    <row r="98" spans="1:35" x14ac:dyDescent="0.15">
      <c r="A98" s="217">
        <f t="shared" si="69"/>
        <v>43647</v>
      </c>
      <c r="B98" s="218">
        <f t="shared" ref="B98:M98" si="78">B64-B63</f>
        <v>38.831773482135532</v>
      </c>
      <c r="C98" s="218">
        <f t="shared" si="78"/>
        <v>-117.04919844040433</v>
      </c>
      <c r="D98" s="218">
        <f t="shared" si="78"/>
        <v>3.8618304741403335</v>
      </c>
      <c r="E98" s="218">
        <f t="shared" si="78"/>
        <v>1.0342375912265993</v>
      </c>
      <c r="F98" s="218">
        <f t="shared" si="78"/>
        <v>1.965970716430083</v>
      </c>
      <c r="G98" s="218">
        <f t="shared" si="78"/>
        <v>1139.4287434382099</v>
      </c>
      <c r="H98" s="218">
        <f t="shared" si="78"/>
        <v>30.411845537286126</v>
      </c>
      <c r="I98" s="218">
        <f t="shared" si="78"/>
        <v>-4.3391607563626167</v>
      </c>
      <c r="J98" s="218">
        <f t="shared" si="78"/>
        <v>39.952510230795525</v>
      </c>
      <c r="K98" s="218">
        <f t="shared" si="78"/>
        <v>-7.9864841802768574</v>
      </c>
      <c r="L98" s="218">
        <f t="shared" si="78"/>
        <v>0.75675844667236447</v>
      </c>
      <c r="M98" s="218">
        <f t="shared" si="78"/>
        <v>8.4211989192226611E-2</v>
      </c>
      <c r="N98" s="16"/>
    </row>
    <row r="99" spans="1:35" x14ac:dyDescent="0.15">
      <c r="A99" s="217">
        <f t="shared" si="69"/>
        <v>43678</v>
      </c>
      <c r="B99" s="218">
        <f t="shared" ref="B99:M99" si="79">B65-B64</f>
        <v>-59.66966062338949</v>
      </c>
      <c r="C99" s="218">
        <f t="shared" si="79"/>
        <v>83.033818701366158</v>
      </c>
      <c r="D99" s="218">
        <f t="shared" si="79"/>
        <v>7.8008827689982425</v>
      </c>
      <c r="E99" s="218">
        <f t="shared" si="79"/>
        <v>-91.202478130250029</v>
      </c>
      <c r="F99" s="218">
        <f t="shared" si="79"/>
        <v>-0.3303750418863185</v>
      </c>
      <c r="G99" s="218">
        <f t="shared" si="79"/>
        <v>288.34706765256192</v>
      </c>
      <c r="H99" s="218">
        <f t="shared" si="79"/>
        <v>-12.748963356336844</v>
      </c>
      <c r="I99" s="218">
        <f t="shared" si="79"/>
        <v>-27.96359209792174</v>
      </c>
      <c r="J99" s="218">
        <f t="shared" si="79"/>
        <v>-2.3597355190917995</v>
      </c>
      <c r="K99" s="218">
        <f t="shared" si="79"/>
        <v>-11.103155828897265</v>
      </c>
      <c r="L99" s="218">
        <f t="shared" si="79"/>
        <v>8.799247971524899</v>
      </c>
      <c r="M99" s="218">
        <f t="shared" si="79"/>
        <v>-0.32493357470775397</v>
      </c>
      <c r="N99" s="16"/>
    </row>
    <row r="100" spans="1:35" x14ac:dyDescent="0.15">
      <c r="A100" s="217">
        <f t="shared" si="69"/>
        <v>43709</v>
      </c>
      <c r="B100" s="218">
        <f t="shared" ref="B100:M100" si="80">B66-B65</f>
        <v>46.830121512354566</v>
      </c>
      <c r="C100" s="218">
        <f t="shared" si="80"/>
        <v>-172.89545376092178</v>
      </c>
      <c r="D100" s="218">
        <f t="shared" si="80"/>
        <v>-8.5942169448827173</v>
      </c>
      <c r="E100" s="218">
        <f t="shared" si="80"/>
        <v>120.11221772789258</v>
      </c>
      <c r="F100" s="218">
        <f t="shared" si="80"/>
        <v>9.7206045054003987E-2</v>
      </c>
      <c r="G100" s="218">
        <f t="shared" si="80"/>
        <v>-1550.8361342187682</v>
      </c>
      <c r="H100" s="218">
        <f t="shared" si="80"/>
        <v>274.37714854725687</v>
      </c>
      <c r="I100" s="218">
        <f t="shared" si="80"/>
        <v>2.0743099589162952</v>
      </c>
      <c r="J100" s="218">
        <f t="shared" si="80"/>
        <v>19.102896120877915</v>
      </c>
      <c r="K100" s="218">
        <f t="shared" si="80"/>
        <v>0.86814466052900308</v>
      </c>
      <c r="L100" s="218">
        <f t="shared" si="80"/>
        <v>34.013753290635648</v>
      </c>
      <c r="M100" s="218">
        <f t="shared" si="80"/>
        <v>5.1826198127851608E-2</v>
      </c>
      <c r="N100" s="16"/>
    </row>
    <row r="104" spans="1:35" x14ac:dyDescent="0.15">
      <c r="A104" s="20" t="s">
        <v>37</v>
      </c>
      <c r="P104" s="35" t="s">
        <v>116</v>
      </c>
    </row>
    <row r="105" spans="1:35" ht="28" x14ac:dyDescent="0.15">
      <c r="A105" s="141" t="s">
        <v>20</v>
      </c>
      <c r="B105" s="139" t="s">
        <v>5</v>
      </c>
      <c r="C105" s="139" t="s">
        <v>6</v>
      </c>
      <c r="D105" s="139" t="s">
        <v>7</v>
      </c>
      <c r="E105" s="139" t="s">
        <v>8</v>
      </c>
      <c r="F105" s="139" t="s">
        <v>9</v>
      </c>
      <c r="G105" s="134" t="s">
        <v>16</v>
      </c>
      <c r="H105" s="140" t="s">
        <v>133</v>
      </c>
      <c r="I105" s="134" t="s">
        <v>10</v>
      </c>
      <c r="J105" s="134" t="s">
        <v>19</v>
      </c>
      <c r="K105" s="134" t="s">
        <v>11</v>
      </c>
      <c r="L105" s="134" t="s">
        <v>14</v>
      </c>
      <c r="M105" s="134" t="s">
        <v>12</v>
      </c>
      <c r="N105" s="134" t="s">
        <v>13</v>
      </c>
      <c r="P105" s="284" t="s">
        <v>20</v>
      </c>
      <c r="Q105" s="283" t="s">
        <v>6</v>
      </c>
      <c r="R105" s="283" t="s">
        <v>7</v>
      </c>
      <c r="S105" s="282" t="s">
        <v>8</v>
      </c>
      <c r="T105" s="282" t="s">
        <v>9</v>
      </c>
      <c r="U105" s="282" t="s">
        <v>80</v>
      </c>
      <c r="V105" s="282" t="s">
        <v>81</v>
      </c>
      <c r="W105" s="282" t="s">
        <v>82</v>
      </c>
      <c r="X105" s="282" t="s">
        <v>83</v>
      </c>
      <c r="Y105" s="282" t="s">
        <v>52</v>
      </c>
      <c r="Z105" s="282" t="s">
        <v>84</v>
      </c>
      <c r="AA105" s="282" t="s">
        <v>85</v>
      </c>
      <c r="AB105" s="282" t="s">
        <v>133</v>
      </c>
      <c r="AC105" s="282" t="s">
        <v>10</v>
      </c>
      <c r="AD105" s="282" t="s">
        <v>86</v>
      </c>
      <c r="AE105" s="282" t="s">
        <v>19</v>
      </c>
      <c r="AF105" s="282" t="s">
        <v>11</v>
      </c>
      <c r="AG105" s="282" t="s">
        <v>87</v>
      </c>
      <c r="AH105" s="282" t="s">
        <v>12</v>
      </c>
      <c r="AI105" s="282" t="s">
        <v>13</v>
      </c>
    </row>
    <row r="106" spans="1:35" x14ac:dyDescent="0.15">
      <c r="A106" s="134" t="str">
        <f>P106</f>
        <v>2018-10</v>
      </c>
      <c r="B106" s="142">
        <f t="shared" ref="B106:B117" si="81">U106+V106+W106+X106</f>
        <v>546</v>
      </c>
      <c r="C106" s="142">
        <f t="shared" ref="C106:C117" si="82">Q106</f>
        <v>12762</v>
      </c>
      <c r="D106" s="142">
        <f t="shared" ref="D106:D117" si="83">R106</f>
        <v>34948</v>
      </c>
      <c r="E106" s="142">
        <f t="shared" ref="E106:E117" si="84">S106</f>
        <v>11176</v>
      </c>
      <c r="F106" s="142">
        <f t="shared" ref="F106:F117" si="85">T106</f>
        <v>1283</v>
      </c>
      <c r="G106" s="142">
        <f>Y106+Z106+AA106</f>
        <v>48340</v>
      </c>
      <c r="H106" s="142">
        <f t="shared" ref="H106:H117" si="86">AB106</f>
        <v>11330</v>
      </c>
      <c r="I106" s="142">
        <f>AC106+AD106</f>
        <v>2829</v>
      </c>
      <c r="J106" s="142">
        <f t="shared" ref="J106:J117" si="87">AE106</f>
        <v>5345</v>
      </c>
      <c r="K106" s="142">
        <f t="shared" ref="K106:K117" si="88">AF106</f>
        <v>2525</v>
      </c>
      <c r="L106" s="142">
        <f t="shared" ref="L106:L117" si="89">AG106</f>
        <v>7194</v>
      </c>
      <c r="M106" s="142">
        <f t="shared" ref="M106:M117" si="90">AH106</f>
        <v>12022</v>
      </c>
      <c r="N106" s="142">
        <f t="shared" ref="N106:N118" si="91">SUM(B106:M106)</f>
        <v>150300</v>
      </c>
      <c r="P106" s="72" t="str">
        <f>P55</f>
        <v>2018-10</v>
      </c>
      <c r="Q106" s="230">
        <v>12762</v>
      </c>
      <c r="R106" s="230">
        <v>34948</v>
      </c>
      <c r="S106" s="230">
        <v>11176</v>
      </c>
      <c r="T106" s="230">
        <v>1283</v>
      </c>
      <c r="U106" s="230">
        <v>23</v>
      </c>
      <c r="V106" s="230">
        <v>163</v>
      </c>
      <c r="W106" s="230">
        <v>126</v>
      </c>
      <c r="X106" s="230">
        <v>234</v>
      </c>
      <c r="Y106" s="230">
        <v>37027</v>
      </c>
      <c r="Z106" s="230">
        <v>2355</v>
      </c>
      <c r="AA106" s="230">
        <v>8958</v>
      </c>
      <c r="AB106" s="230">
        <v>11330</v>
      </c>
      <c r="AC106" s="230">
        <v>1839</v>
      </c>
      <c r="AD106" s="230">
        <v>990</v>
      </c>
      <c r="AE106" s="230">
        <v>5345</v>
      </c>
      <c r="AF106" s="230">
        <v>2525</v>
      </c>
      <c r="AG106" s="230">
        <v>7194</v>
      </c>
      <c r="AH106" s="230">
        <v>12022</v>
      </c>
      <c r="AI106" s="281">
        <f t="shared" ref="AI106:AI117" si="92">SUM(Q106:AH106)</f>
        <v>150300</v>
      </c>
    </row>
    <row r="107" spans="1:35" x14ac:dyDescent="0.15">
      <c r="A107" s="134" t="str">
        <f t="shared" ref="A107:A117" si="93">P107</f>
        <v>2018-11</v>
      </c>
      <c r="B107" s="142">
        <f t="shared" si="81"/>
        <v>574</v>
      </c>
      <c r="C107" s="142">
        <f t="shared" si="82"/>
        <v>12218</v>
      </c>
      <c r="D107" s="142">
        <f t="shared" si="83"/>
        <v>32918</v>
      </c>
      <c r="E107" s="142">
        <f t="shared" si="84"/>
        <v>10667</v>
      </c>
      <c r="F107" s="142">
        <f t="shared" si="85"/>
        <v>1836</v>
      </c>
      <c r="G107" s="142">
        <f t="shared" ref="G107:G118" si="94">Y107+Z107+AA107</f>
        <v>44990</v>
      </c>
      <c r="H107" s="142">
        <f t="shared" si="86"/>
        <v>19696</v>
      </c>
      <c r="I107" s="142">
        <f t="shared" ref="I107:I118" si="95">AC107+AD107</f>
        <v>1918</v>
      </c>
      <c r="J107" s="142">
        <f t="shared" si="87"/>
        <v>5407</v>
      </c>
      <c r="K107" s="142">
        <f t="shared" si="88"/>
        <v>2510</v>
      </c>
      <c r="L107" s="142">
        <f t="shared" si="89"/>
        <v>6874</v>
      </c>
      <c r="M107" s="142">
        <f t="shared" si="90"/>
        <v>12950</v>
      </c>
      <c r="N107" s="142">
        <f t="shared" si="91"/>
        <v>152558</v>
      </c>
      <c r="P107" s="72" t="str">
        <f t="shared" ref="P107:P117" si="96">P56</f>
        <v>2018-11</v>
      </c>
      <c r="Q107" s="230">
        <v>12218</v>
      </c>
      <c r="R107" s="230">
        <v>32918</v>
      </c>
      <c r="S107" s="230">
        <v>10667</v>
      </c>
      <c r="T107" s="230">
        <v>1836</v>
      </c>
      <c r="U107" s="230">
        <v>59</v>
      </c>
      <c r="V107" s="230">
        <v>136</v>
      </c>
      <c r="W107" s="230">
        <v>99</v>
      </c>
      <c r="X107" s="230">
        <v>280</v>
      </c>
      <c r="Y107" s="230">
        <v>34157</v>
      </c>
      <c r="Z107" s="230">
        <v>2283</v>
      </c>
      <c r="AA107" s="230">
        <v>8550</v>
      </c>
      <c r="AB107" s="230">
        <v>19696</v>
      </c>
      <c r="AC107" s="230">
        <v>1045</v>
      </c>
      <c r="AD107" s="230">
        <v>873</v>
      </c>
      <c r="AE107" s="230">
        <v>5407</v>
      </c>
      <c r="AF107" s="230">
        <v>2510</v>
      </c>
      <c r="AG107" s="230">
        <v>6874</v>
      </c>
      <c r="AH107" s="230">
        <v>12950</v>
      </c>
      <c r="AI107" s="281">
        <f t="shared" si="92"/>
        <v>152558</v>
      </c>
    </row>
    <row r="108" spans="1:35" x14ac:dyDescent="0.15">
      <c r="A108" s="134" t="str">
        <f t="shared" si="93"/>
        <v>2018-12</v>
      </c>
      <c r="B108" s="142">
        <f t="shared" si="81"/>
        <v>423</v>
      </c>
      <c r="C108" s="142">
        <f t="shared" si="82"/>
        <v>10049</v>
      </c>
      <c r="D108" s="142">
        <f t="shared" si="83"/>
        <v>30931</v>
      </c>
      <c r="E108" s="142">
        <f t="shared" si="84"/>
        <v>9639</v>
      </c>
      <c r="F108" s="142">
        <f t="shared" si="85"/>
        <v>972</v>
      </c>
      <c r="G108" s="142">
        <f t="shared" si="94"/>
        <v>37090</v>
      </c>
      <c r="H108" s="142">
        <f t="shared" si="86"/>
        <v>16409</v>
      </c>
      <c r="I108" s="142">
        <f t="shared" si="95"/>
        <v>1643</v>
      </c>
      <c r="J108" s="142">
        <f t="shared" si="87"/>
        <v>5197</v>
      </c>
      <c r="K108" s="142">
        <f t="shared" si="88"/>
        <v>1869</v>
      </c>
      <c r="L108" s="142">
        <f t="shared" si="89"/>
        <v>6029</v>
      </c>
      <c r="M108" s="142">
        <f t="shared" si="90"/>
        <v>10319</v>
      </c>
      <c r="N108" s="142">
        <f t="shared" si="91"/>
        <v>130570</v>
      </c>
      <c r="P108" s="72" t="str">
        <f t="shared" si="96"/>
        <v>2018-12</v>
      </c>
      <c r="Q108" s="230">
        <v>10049</v>
      </c>
      <c r="R108" s="230">
        <v>30931</v>
      </c>
      <c r="S108" s="230">
        <v>9639</v>
      </c>
      <c r="T108" s="230">
        <v>972</v>
      </c>
      <c r="U108" s="230">
        <v>14</v>
      </c>
      <c r="V108" s="230">
        <v>107</v>
      </c>
      <c r="W108" s="230">
        <v>97</v>
      </c>
      <c r="X108" s="230">
        <v>205</v>
      </c>
      <c r="Y108" s="230">
        <v>28414</v>
      </c>
      <c r="Z108" s="230">
        <v>1805</v>
      </c>
      <c r="AA108" s="230">
        <v>6871</v>
      </c>
      <c r="AB108" s="230">
        <v>16409</v>
      </c>
      <c r="AC108" s="230">
        <v>837</v>
      </c>
      <c r="AD108" s="230">
        <v>806</v>
      </c>
      <c r="AE108" s="230">
        <v>5197</v>
      </c>
      <c r="AF108" s="230">
        <v>1869</v>
      </c>
      <c r="AG108" s="230">
        <v>6029</v>
      </c>
      <c r="AH108" s="230">
        <v>10319</v>
      </c>
      <c r="AI108" s="281">
        <f t="shared" si="92"/>
        <v>130570</v>
      </c>
    </row>
    <row r="109" spans="1:35" x14ac:dyDescent="0.15">
      <c r="A109" s="134" t="str">
        <f t="shared" si="93"/>
        <v>2019-01</v>
      </c>
      <c r="B109" s="142">
        <f t="shared" si="81"/>
        <v>433</v>
      </c>
      <c r="C109" s="142">
        <f t="shared" si="82"/>
        <v>8833</v>
      </c>
      <c r="D109" s="142">
        <f t="shared" si="83"/>
        <v>31625</v>
      </c>
      <c r="E109" s="142">
        <f t="shared" si="84"/>
        <v>10095</v>
      </c>
      <c r="F109" s="142">
        <f t="shared" si="85"/>
        <v>1839</v>
      </c>
      <c r="G109" s="142">
        <f t="shared" si="94"/>
        <v>45763</v>
      </c>
      <c r="H109" s="142">
        <f t="shared" si="86"/>
        <v>68342</v>
      </c>
      <c r="I109" s="142">
        <f t="shared" si="95"/>
        <v>1682</v>
      </c>
      <c r="J109" s="142">
        <f t="shared" si="87"/>
        <v>5156</v>
      </c>
      <c r="K109" s="142">
        <f t="shared" si="88"/>
        <v>2199</v>
      </c>
      <c r="L109" s="142">
        <f t="shared" si="89"/>
        <v>6356</v>
      </c>
      <c r="M109" s="142">
        <f t="shared" si="90"/>
        <v>10873</v>
      </c>
      <c r="N109" s="142">
        <f t="shared" si="91"/>
        <v>193196</v>
      </c>
      <c r="P109" s="72" t="str">
        <f t="shared" si="96"/>
        <v>2019-01</v>
      </c>
      <c r="Q109" s="230">
        <v>8833</v>
      </c>
      <c r="R109" s="230">
        <v>31625</v>
      </c>
      <c r="S109" s="230">
        <v>10095</v>
      </c>
      <c r="T109" s="230">
        <v>1839</v>
      </c>
      <c r="U109" s="230">
        <v>10</v>
      </c>
      <c r="V109" s="230">
        <v>106</v>
      </c>
      <c r="W109" s="230">
        <v>100</v>
      </c>
      <c r="X109" s="230">
        <v>217</v>
      </c>
      <c r="Y109" s="230">
        <v>37016</v>
      </c>
      <c r="Z109" s="230">
        <v>1917</v>
      </c>
      <c r="AA109" s="230">
        <v>6830</v>
      </c>
      <c r="AB109" s="230">
        <v>68342</v>
      </c>
      <c r="AC109" s="230">
        <v>856</v>
      </c>
      <c r="AD109" s="230">
        <v>826</v>
      </c>
      <c r="AE109" s="230">
        <v>5156</v>
      </c>
      <c r="AF109" s="230">
        <v>2199</v>
      </c>
      <c r="AG109" s="230">
        <v>6356</v>
      </c>
      <c r="AH109" s="230">
        <v>10873</v>
      </c>
      <c r="AI109" s="281">
        <f t="shared" si="92"/>
        <v>193196</v>
      </c>
    </row>
    <row r="110" spans="1:35" x14ac:dyDescent="0.15">
      <c r="A110" s="134" t="str">
        <f t="shared" si="93"/>
        <v>2019-02</v>
      </c>
      <c r="B110" s="142">
        <f t="shared" si="81"/>
        <v>717</v>
      </c>
      <c r="C110" s="142">
        <f t="shared" si="82"/>
        <v>10424</v>
      </c>
      <c r="D110" s="142">
        <f t="shared" si="83"/>
        <v>27412</v>
      </c>
      <c r="E110" s="142">
        <f t="shared" si="84"/>
        <v>10535</v>
      </c>
      <c r="F110" s="142">
        <f t="shared" si="85"/>
        <v>1862</v>
      </c>
      <c r="G110" s="142">
        <f t="shared" si="94"/>
        <v>43474</v>
      </c>
      <c r="H110" s="142">
        <f t="shared" si="86"/>
        <v>7596</v>
      </c>
      <c r="I110" s="142">
        <f t="shared" si="95"/>
        <v>1672</v>
      </c>
      <c r="J110" s="142">
        <f t="shared" si="87"/>
        <v>4992</v>
      </c>
      <c r="K110" s="142">
        <f t="shared" si="88"/>
        <v>2249</v>
      </c>
      <c r="L110" s="142">
        <f t="shared" si="89"/>
        <v>6327</v>
      </c>
      <c r="M110" s="142">
        <f t="shared" si="90"/>
        <v>11139</v>
      </c>
      <c r="N110" s="142">
        <f t="shared" si="91"/>
        <v>128399</v>
      </c>
      <c r="P110" s="72" t="str">
        <f t="shared" si="96"/>
        <v>2019-02</v>
      </c>
      <c r="Q110" s="230">
        <v>10424</v>
      </c>
      <c r="R110" s="230">
        <v>27412</v>
      </c>
      <c r="S110" s="230">
        <v>10535</v>
      </c>
      <c r="T110" s="230">
        <v>1862</v>
      </c>
      <c r="U110" s="230">
        <v>37</v>
      </c>
      <c r="V110" s="230">
        <v>291</v>
      </c>
      <c r="W110" s="230">
        <v>100</v>
      </c>
      <c r="X110" s="230">
        <v>289</v>
      </c>
      <c r="Y110" s="230">
        <v>33896</v>
      </c>
      <c r="Z110" s="230">
        <v>2104</v>
      </c>
      <c r="AA110" s="230">
        <v>7474</v>
      </c>
      <c r="AB110" s="230">
        <v>7596</v>
      </c>
      <c r="AC110" s="230">
        <v>789</v>
      </c>
      <c r="AD110" s="230">
        <v>883</v>
      </c>
      <c r="AE110" s="230">
        <v>4992</v>
      </c>
      <c r="AF110" s="230">
        <v>2249</v>
      </c>
      <c r="AG110" s="230">
        <v>6327</v>
      </c>
      <c r="AH110" s="230">
        <v>11139</v>
      </c>
      <c r="AI110" s="281">
        <f t="shared" si="92"/>
        <v>128399</v>
      </c>
    </row>
    <row r="111" spans="1:35" x14ac:dyDescent="0.15">
      <c r="A111" s="134" t="str">
        <f t="shared" si="93"/>
        <v>2019-03</v>
      </c>
      <c r="B111" s="142">
        <f t="shared" si="81"/>
        <v>572</v>
      </c>
      <c r="C111" s="142">
        <f t="shared" si="82"/>
        <v>12914</v>
      </c>
      <c r="D111" s="142">
        <f t="shared" si="83"/>
        <v>34091</v>
      </c>
      <c r="E111" s="142">
        <f t="shared" si="84"/>
        <v>11739</v>
      </c>
      <c r="F111" s="142">
        <f t="shared" si="85"/>
        <v>1995</v>
      </c>
      <c r="G111" s="142">
        <f t="shared" si="94"/>
        <v>46298</v>
      </c>
      <c r="H111" s="142">
        <f t="shared" si="86"/>
        <v>10553</v>
      </c>
      <c r="I111" s="142">
        <f t="shared" si="95"/>
        <v>2419</v>
      </c>
      <c r="J111" s="142">
        <f t="shared" si="87"/>
        <v>5856</v>
      </c>
      <c r="K111" s="142">
        <f t="shared" si="88"/>
        <v>2597</v>
      </c>
      <c r="L111" s="142">
        <f t="shared" si="89"/>
        <v>7134</v>
      </c>
      <c r="M111" s="142">
        <f t="shared" si="90"/>
        <v>12898</v>
      </c>
      <c r="N111" s="142">
        <f t="shared" si="91"/>
        <v>149066</v>
      </c>
      <c r="P111" s="72" t="str">
        <f t="shared" si="96"/>
        <v>2019-03</v>
      </c>
      <c r="Q111" s="230">
        <v>12914</v>
      </c>
      <c r="R111" s="230">
        <v>34091</v>
      </c>
      <c r="S111" s="230">
        <v>11739</v>
      </c>
      <c r="T111" s="230">
        <v>1995</v>
      </c>
      <c r="U111" s="230">
        <v>15</v>
      </c>
      <c r="V111" s="230">
        <v>179</v>
      </c>
      <c r="W111" s="230">
        <v>121</v>
      </c>
      <c r="X111" s="230">
        <v>257</v>
      </c>
      <c r="Y111" s="230">
        <v>35212</v>
      </c>
      <c r="Z111" s="230">
        <v>2457</v>
      </c>
      <c r="AA111" s="230">
        <v>8629</v>
      </c>
      <c r="AB111" s="230">
        <v>10553</v>
      </c>
      <c r="AC111" s="230">
        <v>1230</v>
      </c>
      <c r="AD111" s="230">
        <v>1189</v>
      </c>
      <c r="AE111" s="230">
        <v>5856</v>
      </c>
      <c r="AF111" s="230">
        <v>2597</v>
      </c>
      <c r="AG111" s="230">
        <v>7134</v>
      </c>
      <c r="AH111" s="230">
        <v>12898</v>
      </c>
      <c r="AI111" s="281">
        <f t="shared" si="92"/>
        <v>149066</v>
      </c>
    </row>
    <row r="112" spans="1:35" x14ac:dyDescent="0.15">
      <c r="A112" s="134" t="str">
        <f t="shared" si="93"/>
        <v>2019-04</v>
      </c>
      <c r="B112" s="142">
        <f t="shared" si="81"/>
        <v>622</v>
      </c>
      <c r="C112" s="142">
        <f t="shared" si="82"/>
        <v>13889</v>
      </c>
      <c r="D112" s="142">
        <f t="shared" si="83"/>
        <v>34064</v>
      </c>
      <c r="E112" s="142">
        <f t="shared" si="84"/>
        <v>11683</v>
      </c>
      <c r="F112" s="142">
        <f t="shared" si="85"/>
        <v>1871</v>
      </c>
      <c r="G112" s="142">
        <f t="shared" si="94"/>
        <v>54023</v>
      </c>
      <c r="H112" s="142">
        <f t="shared" si="86"/>
        <v>13195</v>
      </c>
      <c r="I112" s="142">
        <f t="shared" si="95"/>
        <v>2170</v>
      </c>
      <c r="J112" s="142">
        <f t="shared" si="87"/>
        <v>5730</v>
      </c>
      <c r="K112" s="142">
        <f t="shared" si="88"/>
        <v>2756</v>
      </c>
      <c r="L112" s="142">
        <f t="shared" si="89"/>
        <v>6921</v>
      </c>
      <c r="M112" s="142">
        <f t="shared" si="90"/>
        <v>13755</v>
      </c>
      <c r="N112" s="142">
        <f t="shared" si="91"/>
        <v>160679</v>
      </c>
      <c r="P112" s="72" t="str">
        <f t="shared" si="96"/>
        <v>2019-04</v>
      </c>
      <c r="Q112" s="230">
        <v>13889</v>
      </c>
      <c r="R112" s="230">
        <v>34064</v>
      </c>
      <c r="S112" s="230">
        <v>11683</v>
      </c>
      <c r="T112" s="230">
        <v>1871</v>
      </c>
      <c r="U112" s="230">
        <v>23</v>
      </c>
      <c r="V112" s="230">
        <v>275</v>
      </c>
      <c r="W112" s="230">
        <v>63</v>
      </c>
      <c r="X112" s="230">
        <v>261</v>
      </c>
      <c r="Y112" s="230">
        <v>43164</v>
      </c>
      <c r="Z112" s="230">
        <v>2366</v>
      </c>
      <c r="AA112" s="230">
        <v>8493</v>
      </c>
      <c r="AB112" s="230">
        <v>13195</v>
      </c>
      <c r="AC112" s="230">
        <v>1194</v>
      </c>
      <c r="AD112" s="230">
        <v>976</v>
      </c>
      <c r="AE112" s="230">
        <v>5730</v>
      </c>
      <c r="AF112" s="230">
        <v>2756</v>
      </c>
      <c r="AG112" s="230">
        <v>6921</v>
      </c>
      <c r="AH112" s="230">
        <v>13755</v>
      </c>
      <c r="AI112" s="281">
        <f t="shared" si="92"/>
        <v>160679</v>
      </c>
    </row>
    <row r="113" spans="1:35" x14ac:dyDescent="0.15">
      <c r="A113" s="134" t="str">
        <f t="shared" si="93"/>
        <v>2019-05</v>
      </c>
      <c r="B113" s="142">
        <f t="shared" si="81"/>
        <v>507</v>
      </c>
      <c r="C113" s="142">
        <f t="shared" si="82"/>
        <v>14650</v>
      </c>
      <c r="D113" s="142">
        <f t="shared" si="83"/>
        <v>32743</v>
      </c>
      <c r="E113" s="142">
        <f t="shared" si="84"/>
        <v>11711</v>
      </c>
      <c r="F113" s="142">
        <f t="shared" si="85"/>
        <v>1936</v>
      </c>
      <c r="G113" s="142">
        <f t="shared" si="94"/>
        <v>50901</v>
      </c>
      <c r="H113" s="142">
        <f t="shared" si="86"/>
        <v>16338</v>
      </c>
      <c r="I113" s="142">
        <f t="shared" si="95"/>
        <v>2223</v>
      </c>
      <c r="J113" s="142">
        <f t="shared" si="87"/>
        <v>5507</v>
      </c>
      <c r="K113" s="142">
        <f t="shared" si="88"/>
        <v>2485</v>
      </c>
      <c r="L113" s="142">
        <f t="shared" si="89"/>
        <v>6916</v>
      </c>
      <c r="M113" s="142">
        <f t="shared" si="90"/>
        <v>13277</v>
      </c>
      <c r="N113" s="142">
        <f t="shared" si="91"/>
        <v>159194</v>
      </c>
      <c r="P113" s="72" t="str">
        <f t="shared" si="96"/>
        <v>2019-05</v>
      </c>
      <c r="Q113" s="230">
        <v>14650</v>
      </c>
      <c r="R113" s="230">
        <v>32743</v>
      </c>
      <c r="S113" s="230">
        <v>11711</v>
      </c>
      <c r="T113" s="230">
        <v>1936</v>
      </c>
      <c r="U113" s="230">
        <v>4</v>
      </c>
      <c r="V113" s="230">
        <v>165</v>
      </c>
      <c r="W113" s="230">
        <v>0</v>
      </c>
      <c r="X113" s="230">
        <v>338</v>
      </c>
      <c r="Y113" s="230">
        <v>39592</v>
      </c>
      <c r="Z113" s="230">
        <v>2477</v>
      </c>
      <c r="AA113" s="230">
        <v>8832</v>
      </c>
      <c r="AB113" s="230">
        <v>16338</v>
      </c>
      <c r="AC113" s="230">
        <v>1264</v>
      </c>
      <c r="AD113" s="230">
        <v>959</v>
      </c>
      <c r="AE113" s="230">
        <v>5507</v>
      </c>
      <c r="AF113" s="230">
        <v>2485</v>
      </c>
      <c r="AG113" s="230">
        <v>6916</v>
      </c>
      <c r="AH113" s="230">
        <v>13277</v>
      </c>
      <c r="AI113" s="281">
        <f t="shared" si="92"/>
        <v>159194</v>
      </c>
    </row>
    <row r="114" spans="1:35" x14ac:dyDescent="0.15">
      <c r="A114" s="134" t="str">
        <f t="shared" si="93"/>
        <v>2019-06</v>
      </c>
      <c r="B114" s="142">
        <f t="shared" si="81"/>
        <v>472</v>
      </c>
      <c r="C114" s="142">
        <f t="shared" si="82"/>
        <v>12754</v>
      </c>
      <c r="D114" s="142">
        <f t="shared" si="83"/>
        <v>30069</v>
      </c>
      <c r="E114" s="142">
        <f t="shared" si="84"/>
        <v>11489</v>
      </c>
      <c r="F114" s="142">
        <f t="shared" si="85"/>
        <v>1813</v>
      </c>
      <c r="G114" s="142">
        <f t="shared" si="94"/>
        <v>43908</v>
      </c>
      <c r="H114" s="142">
        <f t="shared" si="86"/>
        <v>7886</v>
      </c>
      <c r="I114" s="142">
        <f t="shared" si="95"/>
        <v>1909</v>
      </c>
      <c r="J114" s="142">
        <f t="shared" si="87"/>
        <v>5892</v>
      </c>
      <c r="K114" s="142">
        <f t="shared" si="88"/>
        <v>2240</v>
      </c>
      <c r="L114" s="142">
        <f t="shared" si="89"/>
        <v>3017</v>
      </c>
      <c r="M114" s="142">
        <f t="shared" si="90"/>
        <v>11910</v>
      </c>
      <c r="N114" s="142">
        <f t="shared" si="91"/>
        <v>133359</v>
      </c>
      <c r="P114" s="72" t="str">
        <f t="shared" si="96"/>
        <v>2019-06</v>
      </c>
      <c r="Q114" s="230">
        <v>12754</v>
      </c>
      <c r="R114" s="230">
        <v>30069</v>
      </c>
      <c r="S114" s="230">
        <v>11489</v>
      </c>
      <c r="T114" s="230">
        <v>1813</v>
      </c>
      <c r="U114" s="230">
        <v>16</v>
      </c>
      <c r="V114" s="230">
        <v>193</v>
      </c>
      <c r="W114" s="230">
        <v>0</v>
      </c>
      <c r="X114" s="230">
        <v>263</v>
      </c>
      <c r="Y114" s="230">
        <v>35322</v>
      </c>
      <c r="Z114" s="230">
        <v>1830</v>
      </c>
      <c r="AA114" s="230">
        <v>6756</v>
      </c>
      <c r="AB114" s="230">
        <v>7886</v>
      </c>
      <c r="AC114" s="230">
        <v>1097</v>
      </c>
      <c r="AD114" s="230">
        <v>812</v>
      </c>
      <c r="AE114" s="230">
        <v>5892</v>
      </c>
      <c r="AF114" s="230">
        <v>2240</v>
      </c>
      <c r="AG114" s="230">
        <v>3017</v>
      </c>
      <c r="AH114" s="230">
        <v>11910</v>
      </c>
      <c r="AI114" s="281">
        <f t="shared" si="92"/>
        <v>133359</v>
      </c>
    </row>
    <row r="115" spans="1:35" x14ac:dyDescent="0.15">
      <c r="A115" s="134" t="str">
        <f t="shared" si="93"/>
        <v>2019-07</v>
      </c>
      <c r="B115" s="142">
        <f t="shared" si="81"/>
        <v>448</v>
      </c>
      <c r="C115" s="142">
        <f t="shared" si="82"/>
        <v>14160</v>
      </c>
      <c r="D115" s="142">
        <f t="shared" si="83"/>
        <v>31654</v>
      </c>
      <c r="E115" s="142">
        <f t="shared" si="84"/>
        <v>12718</v>
      </c>
      <c r="F115" s="142">
        <f t="shared" si="85"/>
        <v>2614</v>
      </c>
      <c r="G115" s="142">
        <f t="shared" si="94"/>
        <v>47192</v>
      </c>
      <c r="H115" s="142">
        <f t="shared" si="86"/>
        <v>14945</v>
      </c>
      <c r="I115" s="142">
        <f t="shared" si="95"/>
        <v>1980</v>
      </c>
      <c r="J115" s="142">
        <f t="shared" si="87"/>
        <v>6963</v>
      </c>
      <c r="K115" s="142">
        <f t="shared" si="88"/>
        <v>2349</v>
      </c>
      <c r="L115" s="142">
        <f t="shared" si="89"/>
        <v>2655</v>
      </c>
      <c r="M115" s="142">
        <f t="shared" si="90"/>
        <v>11540</v>
      </c>
      <c r="N115" s="142">
        <f t="shared" si="91"/>
        <v>149218</v>
      </c>
      <c r="P115" s="72" t="str">
        <f t="shared" si="96"/>
        <v>2019-07</v>
      </c>
      <c r="Q115" s="230">
        <v>14160</v>
      </c>
      <c r="R115" s="230">
        <v>31654</v>
      </c>
      <c r="S115" s="230">
        <v>12718</v>
      </c>
      <c r="T115" s="230">
        <v>2614</v>
      </c>
      <c r="U115" s="230">
        <v>16</v>
      </c>
      <c r="V115" s="230">
        <v>206</v>
      </c>
      <c r="W115" s="230">
        <v>0</v>
      </c>
      <c r="X115" s="230">
        <v>226</v>
      </c>
      <c r="Y115" s="230">
        <v>38762</v>
      </c>
      <c r="Z115" s="230">
        <v>1633</v>
      </c>
      <c r="AA115" s="230">
        <v>6797</v>
      </c>
      <c r="AB115" s="230">
        <v>14945</v>
      </c>
      <c r="AC115" s="230">
        <v>1027</v>
      </c>
      <c r="AD115" s="230">
        <v>953</v>
      </c>
      <c r="AE115" s="230">
        <v>6963</v>
      </c>
      <c r="AF115" s="230">
        <v>2349</v>
      </c>
      <c r="AG115" s="230">
        <v>2655</v>
      </c>
      <c r="AH115" s="230">
        <v>11540</v>
      </c>
      <c r="AI115" s="281">
        <f t="shared" si="92"/>
        <v>149218</v>
      </c>
    </row>
    <row r="116" spans="1:35" x14ac:dyDescent="0.15">
      <c r="A116" s="134" t="str">
        <f t="shared" si="93"/>
        <v>2019-08</v>
      </c>
      <c r="B116" s="142">
        <f t="shared" si="81"/>
        <v>417</v>
      </c>
      <c r="C116" s="142">
        <f t="shared" si="82"/>
        <v>14054</v>
      </c>
      <c r="D116" s="142">
        <f t="shared" si="83"/>
        <v>51089</v>
      </c>
      <c r="E116" s="142">
        <f t="shared" si="84"/>
        <v>11900</v>
      </c>
      <c r="F116" s="142">
        <f t="shared" si="85"/>
        <v>3220</v>
      </c>
      <c r="G116" s="142">
        <f t="shared" si="94"/>
        <v>41289</v>
      </c>
      <c r="H116" s="142">
        <f t="shared" si="86"/>
        <v>54150</v>
      </c>
      <c r="I116" s="142">
        <f t="shared" si="95"/>
        <v>1739</v>
      </c>
      <c r="J116" s="142">
        <f t="shared" si="87"/>
        <v>6081</v>
      </c>
      <c r="K116" s="142">
        <f t="shared" si="88"/>
        <v>2131</v>
      </c>
      <c r="L116" s="142">
        <f t="shared" si="89"/>
        <v>2787</v>
      </c>
      <c r="M116" s="142">
        <f t="shared" si="90"/>
        <v>11382</v>
      </c>
      <c r="N116" s="142">
        <f t="shared" si="91"/>
        <v>200239</v>
      </c>
      <c r="P116" s="72" t="str">
        <f t="shared" si="96"/>
        <v>2019-08</v>
      </c>
      <c r="Q116" s="230">
        <v>14054</v>
      </c>
      <c r="R116" s="230">
        <v>51089</v>
      </c>
      <c r="S116" s="230">
        <v>11900</v>
      </c>
      <c r="T116" s="230">
        <v>3220</v>
      </c>
      <c r="U116" s="230">
        <v>8</v>
      </c>
      <c r="V116" s="230">
        <v>208</v>
      </c>
      <c r="W116" s="230">
        <v>0</v>
      </c>
      <c r="X116" s="230">
        <v>201</v>
      </c>
      <c r="Y116" s="230">
        <v>40048</v>
      </c>
      <c r="Z116" s="230">
        <v>365</v>
      </c>
      <c r="AA116" s="230">
        <v>876</v>
      </c>
      <c r="AB116" s="230">
        <v>54150</v>
      </c>
      <c r="AC116" s="230">
        <v>901</v>
      </c>
      <c r="AD116" s="230">
        <v>838</v>
      </c>
      <c r="AE116" s="230">
        <v>6081</v>
      </c>
      <c r="AF116" s="230">
        <v>2131</v>
      </c>
      <c r="AG116" s="230">
        <v>2787</v>
      </c>
      <c r="AH116" s="230">
        <v>11382</v>
      </c>
      <c r="AI116" s="281">
        <f t="shared" si="92"/>
        <v>200239</v>
      </c>
    </row>
    <row r="117" spans="1:35" x14ac:dyDescent="0.15">
      <c r="A117" s="134" t="str">
        <f t="shared" si="93"/>
        <v>2019-09</v>
      </c>
      <c r="B117" s="142">
        <f t="shared" si="81"/>
        <v>557</v>
      </c>
      <c r="C117" s="142">
        <f t="shared" si="82"/>
        <v>17231</v>
      </c>
      <c r="D117" s="142">
        <f t="shared" si="83"/>
        <v>38501</v>
      </c>
      <c r="E117" s="142">
        <f t="shared" si="84"/>
        <v>13205</v>
      </c>
      <c r="F117" s="142">
        <f t="shared" si="85"/>
        <v>3582</v>
      </c>
      <c r="G117" s="142">
        <f t="shared" si="94"/>
        <v>38100</v>
      </c>
      <c r="H117" s="142">
        <f t="shared" si="86"/>
        <v>88636</v>
      </c>
      <c r="I117" s="142">
        <f t="shared" si="95"/>
        <v>1787</v>
      </c>
      <c r="J117" s="142">
        <f t="shared" si="87"/>
        <v>5615</v>
      </c>
      <c r="K117" s="142">
        <f t="shared" si="88"/>
        <v>2377</v>
      </c>
      <c r="L117" s="142">
        <f t="shared" si="89"/>
        <v>3089</v>
      </c>
      <c r="M117" s="142">
        <f t="shared" si="90"/>
        <v>11940</v>
      </c>
      <c r="N117" s="142">
        <f t="shared" si="91"/>
        <v>224620</v>
      </c>
      <c r="P117" s="72" t="str">
        <f t="shared" si="96"/>
        <v>2019-09</v>
      </c>
      <c r="Q117" s="230">
        <v>17231</v>
      </c>
      <c r="R117" s="230">
        <v>38501</v>
      </c>
      <c r="S117" s="230">
        <v>13205</v>
      </c>
      <c r="T117" s="230">
        <v>3582</v>
      </c>
      <c r="U117" s="230">
        <v>12</v>
      </c>
      <c r="V117" s="230">
        <v>276</v>
      </c>
      <c r="W117" s="230">
        <v>0</v>
      </c>
      <c r="X117" s="230">
        <v>269</v>
      </c>
      <c r="Y117" s="230">
        <v>38100</v>
      </c>
      <c r="Z117" s="230">
        <v>0</v>
      </c>
      <c r="AA117" s="230">
        <v>0</v>
      </c>
      <c r="AB117" s="230">
        <v>88636</v>
      </c>
      <c r="AC117" s="230">
        <v>1040</v>
      </c>
      <c r="AD117" s="230">
        <v>747</v>
      </c>
      <c r="AE117" s="230">
        <v>5615</v>
      </c>
      <c r="AF117" s="230">
        <v>2377</v>
      </c>
      <c r="AG117" s="230">
        <v>3089</v>
      </c>
      <c r="AH117" s="230">
        <v>11940</v>
      </c>
      <c r="AI117" s="281">
        <f t="shared" si="92"/>
        <v>224620</v>
      </c>
    </row>
    <row r="118" spans="1:35" x14ac:dyDescent="0.15">
      <c r="A118" s="135" t="s">
        <v>17</v>
      </c>
      <c r="B118" s="142">
        <f>SUM(B106:B117)</f>
        <v>6288</v>
      </c>
      <c r="C118" s="142">
        <f t="shared" ref="C118:M118" si="97">SUM(C106:C117)</f>
        <v>153938</v>
      </c>
      <c r="D118" s="142">
        <f t="shared" si="97"/>
        <v>410045</v>
      </c>
      <c r="E118" s="142">
        <f t="shared" si="97"/>
        <v>136557</v>
      </c>
      <c r="F118" s="142">
        <f t="shared" si="97"/>
        <v>24823</v>
      </c>
      <c r="G118" s="142">
        <f t="shared" si="94"/>
        <v>541368</v>
      </c>
      <c r="H118" s="142">
        <f t="shared" si="97"/>
        <v>329076</v>
      </c>
      <c r="I118" s="142">
        <f t="shared" si="95"/>
        <v>23971</v>
      </c>
      <c r="J118" s="142">
        <f t="shared" si="97"/>
        <v>67741</v>
      </c>
      <c r="K118" s="142">
        <f t="shared" si="97"/>
        <v>28287</v>
      </c>
      <c r="L118" s="142">
        <f t="shared" si="97"/>
        <v>65299</v>
      </c>
      <c r="M118" s="142">
        <f t="shared" si="97"/>
        <v>144005</v>
      </c>
      <c r="N118" s="142">
        <f t="shared" si="91"/>
        <v>1931398</v>
      </c>
      <c r="P118" s="71" t="s">
        <v>17</v>
      </c>
      <c r="Q118" s="281">
        <f>SUM(Q106:Q117)</f>
        <v>153938</v>
      </c>
      <c r="R118" s="281">
        <f t="shared" ref="R118:AI118" si="98">SUM(R106:R117)</f>
        <v>410045</v>
      </c>
      <c r="S118" s="281">
        <f t="shared" si="98"/>
        <v>136557</v>
      </c>
      <c r="T118" s="281">
        <f t="shared" si="98"/>
        <v>24823</v>
      </c>
      <c r="U118" s="281">
        <f t="shared" si="98"/>
        <v>237</v>
      </c>
      <c r="V118" s="281">
        <f t="shared" si="98"/>
        <v>2305</v>
      </c>
      <c r="W118" s="281">
        <f t="shared" si="98"/>
        <v>706</v>
      </c>
      <c r="X118" s="281">
        <f t="shared" si="98"/>
        <v>3040</v>
      </c>
      <c r="Y118" s="281">
        <f t="shared" si="98"/>
        <v>440710</v>
      </c>
      <c r="Z118" s="281">
        <f t="shared" si="98"/>
        <v>21592</v>
      </c>
      <c r="AA118" s="281">
        <f t="shared" si="98"/>
        <v>79066</v>
      </c>
      <c r="AB118" s="281">
        <f t="shared" si="98"/>
        <v>329076</v>
      </c>
      <c r="AC118" s="281">
        <f t="shared" si="98"/>
        <v>13119</v>
      </c>
      <c r="AD118" s="281">
        <f t="shared" si="98"/>
        <v>10852</v>
      </c>
      <c r="AE118" s="281">
        <f t="shared" si="98"/>
        <v>67741</v>
      </c>
      <c r="AF118" s="281">
        <f t="shared" si="98"/>
        <v>28287</v>
      </c>
      <c r="AG118" s="281">
        <f t="shared" si="98"/>
        <v>65299</v>
      </c>
      <c r="AH118" s="281">
        <f t="shared" si="98"/>
        <v>144005</v>
      </c>
      <c r="AI118" s="281">
        <f t="shared" si="98"/>
        <v>1931398</v>
      </c>
    </row>
    <row r="119" spans="1:35" x14ac:dyDescent="0.15">
      <c r="A119" s="12" t="s">
        <v>31</v>
      </c>
      <c r="B119" s="143">
        <f>AVERAGE(B106:B117)</f>
        <v>524</v>
      </c>
      <c r="C119" s="143">
        <f t="shared" ref="C119:M119" si="99">AVERAGE(C106:C117)</f>
        <v>12828.166666666666</v>
      </c>
      <c r="D119" s="143">
        <f t="shared" si="99"/>
        <v>34170.416666666664</v>
      </c>
      <c r="E119" s="143">
        <f t="shared" si="99"/>
        <v>11379.75</v>
      </c>
      <c r="F119" s="143">
        <f t="shared" si="99"/>
        <v>2068.5833333333335</v>
      </c>
      <c r="G119" s="143">
        <f t="shared" si="99"/>
        <v>45114</v>
      </c>
      <c r="H119" s="143">
        <f t="shared" si="99"/>
        <v>27423</v>
      </c>
      <c r="I119" s="143">
        <f t="shared" si="99"/>
        <v>1997.5833333333333</v>
      </c>
      <c r="J119" s="143">
        <f t="shared" si="99"/>
        <v>5645.083333333333</v>
      </c>
      <c r="K119" s="143">
        <f t="shared" si="99"/>
        <v>2357.25</v>
      </c>
      <c r="L119" s="143">
        <f t="shared" si="99"/>
        <v>5441.583333333333</v>
      </c>
      <c r="M119" s="143">
        <f t="shared" si="99"/>
        <v>12000.416666666666</v>
      </c>
      <c r="N119" s="22"/>
    </row>
    <row r="120" spans="1:35" x14ac:dyDescent="0.15">
      <c r="A120" s="70" t="s">
        <v>148</v>
      </c>
      <c r="B120" s="230">
        <v>3793</v>
      </c>
      <c r="C120" s="230">
        <v>109730</v>
      </c>
      <c r="D120" s="230">
        <v>295901</v>
      </c>
      <c r="E120" s="230">
        <v>84258</v>
      </c>
      <c r="F120" s="230">
        <v>16795</v>
      </c>
      <c r="G120" s="230">
        <v>287736</v>
      </c>
      <c r="H120" s="230">
        <v>289090</v>
      </c>
      <c r="I120" s="230">
        <v>16369</v>
      </c>
      <c r="J120" s="230">
        <v>44317</v>
      </c>
      <c r="K120" s="230">
        <v>20189</v>
      </c>
      <c r="L120" s="230">
        <v>50029</v>
      </c>
      <c r="M120" s="230">
        <v>117594</v>
      </c>
      <c r="N120" s="142">
        <f>SUM(B120:M120)</f>
        <v>1335801</v>
      </c>
      <c r="O120" s="35" t="s">
        <v>100</v>
      </c>
    </row>
    <row r="121" spans="1:35" x14ac:dyDescent="0.15">
      <c r="A121" s="70" t="s">
        <v>147</v>
      </c>
      <c r="B121" s="230">
        <v>4210</v>
      </c>
      <c r="C121" s="230">
        <v>90043</v>
      </c>
      <c r="D121" s="230">
        <v>404859</v>
      </c>
      <c r="E121" s="230">
        <v>77498</v>
      </c>
      <c r="F121" s="230">
        <v>14460</v>
      </c>
      <c r="G121" s="230">
        <v>353068</v>
      </c>
      <c r="H121" s="230">
        <v>1045681</v>
      </c>
      <c r="I121" s="230">
        <v>16951</v>
      </c>
      <c r="J121" s="230">
        <v>47937</v>
      </c>
      <c r="K121" s="230">
        <v>13855</v>
      </c>
      <c r="L121" s="230">
        <v>61971</v>
      </c>
      <c r="M121" s="230">
        <v>96918</v>
      </c>
      <c r="N121" s="142">
        <f>SUM(B121:M121)</f>
        <v>2227451</v>
      </c>
      <c r="O121" s="35" t="s">
        <v>100</v>
      </c>
    </row>
    <row r="123" spans="1:35" x14ac:dyDescent="0.15">
      <c r="B123" s="357" t="s">
        <v>32</v>
      </c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</row>
    <row r="124" spans="1:35" ht="28" x14ac:dyDescent="0.15">
      <c r="A124" s="170" t="s">
        <v>18</v>
      </c>
      <c r="B124" s="171" t="s">
        <v>5</v>
      </c>
      <c r="C124" s="171" t="s">
        <v>6</v>
      </c>
      <c r="D124" s="171" t="s">
        <v>7</v>
      </c>
      <c r="E124" s="171" t="s">
        <v>8</v>
      </c>
      <c r="F124" s="171" t="s">
        <v>9</v>
      </c>
      <c r="G124" s="172" t="s">
        <v>16</v>
      </c>
      <c r="H124" s="173" t="s">
        <v>133</v>
      </c>
      <c r="I124" s="172" t="s">
        <v>10</v>
      </c>
      <c r="J124" s="172" t="s">
        <v>19</v>
      </c>
      <c r="K124" s="172" t="s">
        <v>11</v>
      </c>
      <c r="L124" s="172" t="s">
        <v>14</v>
      </c>
      <c r="M124" s="172" t="s">
        <v>12</v>
      </c>
    </row>
    <row r="125" spans="1:35" x14ac:dyDescent="0.15">
      <c r="A125" s="217">
        <f>A89</f>
        <v>43374</v>
      </c>
      <c r="B125" s="222">
        <f>B106-B$119</f>
        <v>22</v>
      </c>
      <c r="C125" s="222">
        <f t="shared" ref="C125:M125" si="100">C106-C$119</f>
        <v>-66.16666666666606</v>
      </c>
      <c r="D125" s="222">
        <f t="shared" si="100"/>
        <v>777.58333333333576</v>
      </c>
      <c r="E125" s="222">
        <f t="shared" si="100"/>
        <v>-203.75</v>
      </c>
      <c r="F125" s="222">
        <f t="shared" si="100"/>
        <v>-785.58333333333348</v>
      </c>
      <c r="G125" s="222">
        <f t="shared" si="100"/>
        <v>3226</v>
      </c>
      <c r="H125" s="222">
        <f t="shared" si="100"/>
        <v>-16093</v>
      </c>
      <c r="I125" s="222">
        <f t="shared" si="100"/>
        <v>831.41666666666674</v>
      </c>
      <c r="J125" s="222">
        <f t="shared" si="100"/>
        <v>-300.08333333333303</v>
      </c>
      <c r="K125" s="222">
        <f t="shared" si="100"/>
        <v>167.75</v>
      </c>
      <c r="L125" s="222">
        <f t="shared" si="100"/>
        <v>1752.416666666667</v>
      </c>
      <c r="M125" s="222">
        <f t="shared" si="100"/>
        <v>21.58333333333394</v>
      </c>
      <c r="N125" s="14"/>
      <c r="O125" s="14"/>
    </row>
    <row r="126" spans="1:35" x14ac:dyDescent="0.15">
      <c r="A126" s="217">
        <f t="shared" ref="A126:A136" si="101">A90</f>
        <v>43405</v>
      </c>
      <c r="B126" s="222">
        <f t="shared" ref="B126:M126" si="102">B107-B$119</f>
        <v>50</v>
      </c>
      <c r="C126" s="222">
        <f t="shared" si="102"/>
        <v>-610.16666666666606</v>
      </c>
      <c r="D126" s="222">
        <f t="shared" si="102"/>
        <v>-1252.4166666666642</v>
      </c>
      <c r="E126" s="222">
        <f t="shared" si="102"/>
        <v>-712.75</v>
      </c>
      <c r="F126" s="222">
        <f t="shared" si="102"/>
        <v>-232.58333333333348</v>
      </c>
      <c r="G126" s="222">
        <f t="shared" si="102"/>
        <v>-124</v>
      </c>
      <c r="H126" s="222">
        <f t="shared" si="102"/>
        <v>-7727</v>
      </c>
      <c r="I126" s="222">
        <f t="shared" si="102"/>
        <v>-79.583333333333258</v>
      </c>
      <c r="J126" s="222">
        <f t="shared" si="102"/>
        <v>-238.08333333333303</v>
      </c>
      <c r="K126" s="222">
        <f t="shared" si="102"/>
        <v>152.75</v>
      </c>
      <c r="L126" s="222">
        <f t="shared" si="102"/>
        <v>1432.416666666667</v>
      </c>
      <c r="M126" s="222">
        <f t="shared" si="102"/>
        <v>949.58333333333394</v>
      </c>
    </row>
    <row r="127" spans="1:35" x14ac:dyDescent="0.15">
      <c r="A127" s="217">
        <f t="shared" si="101"/>
        <v>43435</v>
      </c>
      <c r="B127" s="222">
        <f t="shared" ref="B127:M127" si="103">B108-B$119</f>
        <v>-101</v>
      </c>
      <c r="C127" s="222">
        <f t="shared" si="103"/>
        <v>-2779.1666666666661</v>
      </c>
      <c r="D127" s="222">
        <f t="shared" si="103"/>
        <v>-3239.4166666666642</v>
      </c>
      <c r="E127" s="222">
        <f t="shared" si="103"/>
        <v>-1740.75</v>
      </c>
      <c r="F127" s="222">
        <f t="shared" si="103"/>
        <v>-1096.5833333333335</v>
      </c>
      <c r="G127" s="222">
        <f t="shared" si="103"/>
        <v>-8024</v>
      </c>
      <c r="H127" s="222">
        <f t="shared" si="103"/>
        <v>-11014</v>
      </c>
      <c r="I127" s="222">
        <f t="shared" si="103"/>
        <v>-354.58333333333326</v>
      </c>
      <c r="J127" s="222">
        <f t="shared" si="103"/>
        <v>-448.08333333333303</v>
      </c>
      <c r="K127" s="222">
        <f t="shared" si="103"/>
        <v>-488.25</v>
      </c>
      <c r="L127" s="222">
        <f t="shared" si="103"/>
        <v>587.41666666666697</v>
      </c>
      <c r="M127" s="222">
        <f t="shared" si="103"/>
        <v>-1681.4166666666661</v>
      </c>
    </row>
    <row r="128" spans="1:35" x14ac:dyDescent="0.15">
      <c r="A128" s="217">
        <f t="shared" si="101"/>
        <v>43466</v>
      </c>
      <c r="B128" s="222">
        <f t="shared" ref="B128:M128" si="104">B109-B$119</f>
        <v>-91</v>
      </c>
      <c r="C128" s="222">
        <f t="shared" si="104"/>
        <v>-3995.1666666666661</v>
      </c>
      <c r="D128" s="222">
        <f t="shared" si="104"/>
        <v>-2545.4166666666642</v>
      </c>
      <c r="E128" s="222">
        <f t="shared" si="104"/>
        <v>-1284.75</v>
      </c>
      <c r="F128" s="222">
        <f t="shared" si="104"/>
        <v>-229.58333333333348</v>
      </c>
      <c r="G128" s="222">
        <f t="shared" si="104"/>
        <v>649</v>
      </c>
      <c r="H128" s="222">
        <f t="shared" si="104"/>
        <v>40919</v>
      </c>
      <c r="I128" s="222">
        <f t="shared" si="104"/>
        <v>-315.58333333333326</v>
      </c>
      <c r="J128" s="222">
        <f t="shared" si="104"/>
        <v>-489.08333333333303</v>
      </c>
      <c r="K128" s="222">
        <f t="shared" si="104"/>
        <v>-158.25</v>
      </c>
      <c r="L128" s="222">
        <f t="shared" si="104"/>
        <v>914.41666666666697</v>
      </c>
      <c r="M128" s="222">
        <f t="shared" si="104"/>
        <v>-1127.4166666666661</v>
      </c>
    </row>
    <row r="129" spans="1:14" x14ac:dyDescent="0.15">
      <c r="A129" s="217">
        <f t="shared" si="101"/>
        <v>43497</v>
      </c>
      <c r="B129" s="222">
        <f t="shared" ref="B129:M129" si="105">B110-B$119</f>
        <v>193</v>
      </c>
      <c r="C129" s="222">
        <f t="shared" si="105"/>
        <v>-2404.1666666666661</v>
      </c>
      <c r="D129" s="222">
        <f t="shared" si="105"/>
        <v>-6758.4166666666642</v>
      </c>
      <c r="E129" s="222">
        <f t="shared" si="105"/>
        <v>-844.75</v>
      </c>
      <c r="F129" s="222">
        <f t="shared" si="105"/>
        <v>-206.58333333333348</v>
      </c>
      <c r="G129" s="222">
        <f t="shared" si="105"/>
        <v>-1640</v>
      </c>
      <c r="H129" s="222">
        <f t="shared" si="105"/>
        <v>-19827</v>
      </c>
      <c r="I129" s="222">
        <f t="shared" si="105"/>
        <v>-325.58333333333326</v>
      </c>
      <c r="J129" s="222">
        <f t="shared" si="105"/>
        <v>-653.08333333333303</v>
      </c>
      <c r="K129" s="222">
        <f t="shared" si="105"/>
        <v>-108.25</v>
      </c>
      <c r="L129" s="222">
        <f t="shared" si="105"/>
        <v>885.41666666666697</v>
      </c>
      <c r="M129" s="222">
        <f t="shared" si="105"/>
        <v>-861.41666666666606</v>
      </c>
    </row>
    <row r="130" spans="1:14" x14ac:dyDescent="0.15">
      <c r="A130" s="217">
        <f t="shared" si="101"/>
        <v>43525</v>
      </c>
      <c r="B130" s="222">
        <f t="shared" ref="B130:M130" si="106">B111-B$119</f>
        <v>48</v>
      </c>
      <c r="C130" s="222">
        <f t="shared" si="106"/>
        <v>85.83333333333394</v>
      </c>
      <c r="D130" s="222">
        <f t="shared" si="106"/>
        <v>-79.416666666664241</v>
      </c>
      <c r="E130" s="222">
        <f t="shared" si="106"/>
        <v>359.25</v>
      </c>
      <c r="F130" s="222">
        <f t="shared" si="106"/>
        <v>-73.583333333333485</v>
      </c>
      <c r="G130" s="222">
        <f t="shared" si="106"/>
        <v>1184</v>
      </c>
      <c r="H130" s="222">
        <f t="shared" si="106"/>
        <v>-16870</v>
      </c>
      <c r="I130" s="222">
        <f t="shared" si="106"/>
        <v>421.41666666666674</v>
      </c>
      <c r="J130" s="222">
        <f t="shared" si="106"/>
        <v>210.91666666666697</v>
      </c>
      <c r="K130" s="222">
        <f t="shared" si="106"/>
        <v>239.75</v>
      </c>
      <c r="L130" s="222">
        <f t="shared" si="106"/>
        <v>1692.416666666667</v>
      </c>
      <c r="M130" s="222">
        <f t="shared" si="106"/>
        <v>897.58333333333394</v>
      </c>
    </row>
    <row r="131" spans="1:14" x14ac:dyDescent="0.15">
      <c r="A131" s="217">
        <f t="shared" si="101"/>
        <v>43556</v>
      </c>
      <c r="B131" s="222">
        <f t="shared" ref="B131:M131" si="107">B112-B$119</f>
        <v>98</v>
      </c>
      <c r="C131" s="222">
        <f t="shared" si="107"/>
        <v>1060.8333333333339</v>
      </c>
      <c r="D131" s="222">
        <f t="shared" si="107"/>
        <v>-106.41666666666424</v>
      </c>
      <c r="E131" s="222">
        <f t="shared" si="107"/>
        <v>303.25</v>
      </c>
      <c r="F131" s="222">
        <f t="shared" si="107"/>
        <v>-197.58333333333348</v>
      </c>
      <c r="G131" s="222">
        <f t="shared" si="107"/>
        <v>8909</v>
      </c>
      <c r="H131" s="222">
        <f t="shared" si="107"/>
        <v>-14228</v>
      </c>
      <c r="I131" s="222">
        <f t="shared" si="107"/>
        <v>172.41666666666674</v>
      </c>
      <c r="J131" s="222">
        <f t="shared" si="107"/>
        <v>84.91666666666697</v>
      </c>
      <c r="K131" s="222">
        <f t="shared" si="107"/>
        <v>398.75</v>
      </c>
      <c r="L131" s="222">
        <f t="shared" si="107"/>
        <v>1479.416666666667</v>
      </c>
      <c r="M131" s="222">
        <f t="shared" si="107"/>
        <v>1754.5833333333339</v>
      </c>
    </row>
    <row r="132" spans="1:14" x14ac:dyDescent="0.15">
      <c r="A132" s="217">
        <f t="shared" si="101"/>
        <v>43586</v>
      </c>
      <c r="B132" s="222">
        <f t="shared" ref="B132:M132" si="108">B113-B$119</f>
        <v>-17</v>
      </c>
      <c r="C132" s="222">
        <f t="shared" si="108"/>
        <v>1821.8333333333339</v>
      </c>
      <c r="D132" s="222">
        <f t="shared" si="108"/>
        <v>-1427.4166666666642</v>
      </c>
      <c r="E132" s="222">
        <f t="shared" si="108"/>
        <v>331.25</v>
      </c>
      <c r="F132" s="222">
        <f t="shared" si="108"/>
        <v>-132.58333333333348</v>
      </c>
      <c r="G132" s="222">
        <f t="shared" si="108"/>
        <v>5787</v>
      </c>
      <c r="H132" s="222">
        <f t="shared" si="108"/>
        <v>-11085</v>
      </c>
      <c r="I132" s="222">
        <f t="shared" si="108"/>
        <v>225.41666666666674</v>
      </c>
      <c r="J132" s="222">
        <f t="shared" si="108"/>
        <v>-138.08333333333303</v>
      </c>
      <c r="K132" s="222">
        <f t="shared" si="108"/>
        <v>127.75</v>
      </c>
      <c r="L132" s="222">
        <f t="shared" si="108"/>
        <v>1474.416666666667</v>
      </c>
      <c r="M132" s="222">
        <f t="shared" si="108"/>
        <v>1276.5833333333339</v>
      </c>
    </row>
    <row r="133" spans="1:14" x14ac:dyDescent="0.15">
      <c r="A133" s="217">
        <f t="shared" si="101"/>
        <v>43617</v>
      </c>
      <c r="B133" s="222">
        <f t="shared" ref="B133:M133" si="109">B114-B$119</f>
        <v>-52</v>
      </c>
      <c r="C133" s="222">
        <f t="shared" si="109"/>
        <v>-74.16666666666606</v>
      </c>
      <c r="D133" s="222">
        <f t="shared" si="109"/>
        <v>-4101.4166666666642</v>
      </c>
      <c r="E133" s="222">
        <f t="shared" si="109"/>
        <v>109.25</v>
      </c>
      <c r="F133" s="222">
        <f t="shared" si="109"/>
        <v>-255.58333333333348</v>
      </c>
      <c r="G133" s="222">
        <f t="shared" si="109"/>
        <v>-1206</v>
      </c>
      <c r="H133" s="222">
        <f t="shared" si="109"/>
        <v>-19537</v>
      </c>
      <c r="I133" s="222">
        <f t="shared" si="109"/>
        <v>-88.583333333333258</v>
      </c>
      <c r="J133" s="222">
        <f t="shared" si="109"/>
        <v>246.91666666666697</v>
      </c>
      <c r="K133" s="222">
        <f t="shared" si="109"/>
        <v>-117.25</v>
      </c>
      <c r="L133" s="222">
        <f t="shared" si="109"/>
        <v>-2424.583333333333</v>
      </c>
      <c r="M133" s="222">
        <f t="shared" si="109"/>
        <v>-90.41666666666606</v>
      </c>
    </row>
    <row r="134" spans="1:14" x14ac:dyDescent="0.15">
      <c r="A134" s="217">
        <f t="shared" si="101"/>
        <v>43647</v>
      </c>
      <c r="B134" s="222">
        <f t="shared" ref="B134:M134" si="110">B115-B$119</f>
        <v>-76</v>
      </c>
      <c r="C134" s="222">
        <f t="shared" si="110"/>
        <v>1331.8333333333339</v>
      </c>
      <c r="D134" s="222">
        <f t="shared" si="110"/>
        <v>-2516.4166666666642</v>
      </c>
      <c r="E134" s="222">
        <f t="shared" si="110"/>
        <v>1338.25</v>
      </c>
      <c r="F134" s="222">
        <f t="shared" si="110"/>
        <v>545.41666666666652</v>
      </c>
      <c r="G134" s="222">
        <f t="shared" si="110"/>
        <v>2078</v>
      </c>
      <c r="H134" s="222">
        <f t="shared" si="110"/>
        <v>-12478</v>
      </c>
      <c r="I134" s="222">
        <f t="shared" si="110"/>
        <v>-17.583333333333258</v>
      </c>
      <c r="J134" s="222">
        <f t="shared" si="110"/>
        <v>1317.916666666667</v>
      </c>
      <c r="K134" s="222">
        <f t="shared" si="110"/>
        <v>-8.25</v>
      </c>
      <c r="L134" s="222">
        <f t="shared" si="110"/>
        <v>-2786.583333333333</v>
      </c>
      <c r="M134" s="222">
        <f t="shared" si="110"/>
        <v>-460.41666666666606</v>
      </c>
    </row>
    <row r="135" spans="1:14" x14ac:dyDescent="0.15">
      <c r="A135" s="217">
        <f t="shared" si="101"/>
        <v>43678</v>
      </c>
      <c r="B135" s="222">
        <f t="shared" ref="B135:M135" si="111">B116-B$119</f>
        <v>-107</v>
      </c>
      <c r="C135" s="222">
        <f t="shared" si="111"/>
        <v>1225.8333333333339</v>
      </c>
      <c r="D135" s="222">
        <f t="shared" si="111"/>
        <v>16918.583333333336</v>
      </c>
      <c r="E135" s="222">
        <f t="shared" si="111"/>
        <v>520.25</v>
      </c>
      <c r="F135" s="222">
        <f t="shared" si="111"/>
        <v>1151.4166666666665</v>
      </c>
      <c r="G135" s="222">
        <f t="shared" si="111"/>
        <v>-3825</v>
      </c>
      <c r="H135" s="222">
        <f t="shared" si="111"/>
        <v>26727</v>
      </c>
      <c r="I135" s="222">
        <f t="shared" si="111"/>
        <v>-258.58333333333326</v>
      </c>
      <c r="J135" s="222">
        <f t="shared" si="111"/>
        <v>435.91666666666697</v>
      </c>
      <c r="K135" s="222">
        <f t="shared" si="111"/>
        <v>-226.25</v>
      </c>
      <c r="L135" s="222">
        <f t="shared" si="111"/>
        <v>-2654.583333333333</v>
      </c>
      <c r="M135" s="222">
        <f t="shared" si="111"/>
        <v>-618.41666666666606</v>
      </c>
    </row>
    <row r="136" spans="1:14" x14ac:dyDescent="0.15">
      <c r="A136" s="217">
        <f t="shared" si="101"/>
        <v>43709</v>
      </c>
      <c r="B136" s="222">
        <f t="shared" ref="B136:M136" si="112">B117-B$119</f>
        <v>33</v>
      </c>
      <c r="C136" s="222">
        <f t="shared" si="112"/>
        <v>4402.8333333333339</v>
      </c>
      <c r="D136" s="222">
        <f t="shared" si="112"/>
        <v>4330.5833333333358</v>
      </c>
      <c r="E136" s="222">
        <f t="shared" si="112"/>
        <v>1825.25</v>
      </c>
      <c r="F136" s="222">
        <f t="shared" si="112"/>
        <v>1513.4166666666665</v>
      </c>
      <c r="G136" s="222">
        <f t="shared" si="112"/>
        <v>-7014</v>
      </c>
      <c r="H136" s="222">
        <f t="shared" si="112"/>
        <v>61213</v>
      </c>
      <c r="I136" s="222">
        <f t="shared" si="112"/>
        <v>-210.58333333333326</v>
      </c>
      <c r="J136" s="222">
        <f t="shared" si="112"/>
        <v>-30.08333333333303</v>
      </c>
      <c r="K136" s="222">
        <f t="shared" si="112"/>
        <v>19.75</v>
      </c>
      <c r="L136" s="222">
        <f t="shared" si="112"/>
        <v>-2352.583333333333</v>
      </c>
      <c r="M136" s="222">
        <f t="shared" si="112"/>
        <v>-60.41666666666606</v>
      </c>
    </row>
    <row r="137" spans="1:14" x14ac:dyDescent="0.15">
      <c r="A137" s="170" t="s">
        <v>13</v>
      </c>
      <c r="B137" s="175">
        <f>SUM(B125:B136)</f>
        <v>0</v>
      </c>
      <c r="C137" s="175">
        <f t="shared" ref="C137:M137" si="113">SUM(C125:C136)</f>
        <v>7.2759576141834259E-12</v>
      </c>
      <c r="D137" s="175">
        <f t="shared" si="113"/>
        <v>2.9103830456733704E-11</v>
      </c>
      <c r="E137" s="175">
        <f t="shared" si="113"/>
        <v>0</v>
      </c>
      <c r="F137" s="175">
        <f t="shared" si="113"/>
        <v>-1.8189894035458565E-12</v>
      </c>
      <c r="G137" s="175">
        <f t="shared" si="113"/>
        <v>0</v>
      </c>
      <c r="H137" s="175">
        <f t="shared" si="113"/>
        <v>0</v>
      </c>
      <c r="I137" s="175">
        <f t="shared" si="113"/>
        <v>9.0949470177292824E-13</v>
      </c>
      <c r="J137" s="175">
        <f t="shared" si="113"/>
        <v>3.637978807091713E-12</v>
      </c>
      <c r="K137" s="175">
        <f t="shared" si="113"/>
        <v>0</v>
      </c>
      <c r="L137" s="175">
        <f t="shared" si="113"/>
        <v>3.637978807091713E-12</v>
      </c>
      <c r="M137" s="175">
        <f t="shared" si="113"/>
        <v>7.2759576141834259E-12</v>
      </c>
    </row>
    <row r="138" spans="1:14" x14ac:dyDescent="0.15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4" x14ac:dyDescent="0.15">
      <c r="B139" s="357" t="s">
        <v>33</v>
      </c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</row>
    <row r="140" spans="1:14" ht="28" x14ac:dyDescent="0.15">
      <c r="A140" s="176" t="s">
        <v>18</v>
      </c>
      <c r="B140" s="223" t="s">
        <v>5</v>
      </c>
      <c r="C140" s="223" t="s">
        <v>6</v>
      </c>
      <c r="D140" s="223" t="s">
        <v>7</v>
      </c>
      <c r="E140" s="223" t="s">
        <v>8</v>
      </c>
      <c r="F140" s="223" t="s">
        <v>9</v>
      </c>
      <c r="G140" s="223" t="s">
        <v>16</v>
      </c>
      <c r="H140" s="224" t="s">
        <v>133</v>
      </c>
      <c r="I140" s="223" t="s">
        <v>10</v>
      </c>
      <c r="J140" s="223" t="s">
        <v>19</v>
      </c>
      <c r="K140" s="223" t="s">
        <v>11</v>
      </c>
      <c r="L140" s="223" t="s">
        <v>14</v>
      </c>
      <c r="M140" s="223" t="s">
        <v>12</v>
      </c>
    </row>
    <row r="141" spans="1:14" x14ac:dyDescent="0.15">
      <c r="A141" s="217">
        <f>A125</f>
        <v>43374</v>
      </c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</row>
    <row r="142" spans="1:14" x14ac:dyDescent="0.15">
      <c r="A142" s="217">
        <f t="shared" ref="A142:A152" si="114">A126</f>
        <v>43405</v>
      </c>
      <c r="B142" s="218">
        <f>B107-B106</f>
        <v>28</v>
      </c>
      <c r="C142" s="218">
        <f t="shared" ref="C142:M142" si="115">C107-C106</f>
        <v>-544</v>
      </c>
      <c r="D142" s="218">
        <f t="shared" si="115"/>
        <v>-2030</v>
      </c>
      <c r="E142" s="218">
        <f t="shared" si="115"/>
        <v>-509</v>
      </c>
      <c r="F142" s="218">
        <f t="shared" si="115"/>
        <v>553</v>
      </c>
      <c r="G142" s="218">
        <f t="shared" si="115"/>
        <v>-3350</v>
      </c>
      <c r="H142" s="218">
        <f t="shared" si="115"/>
        <v>8366</v>
      </c>
      <c r="I142" s="218">
        <f t="shared" si="115"/>
        <v>-911</v>
      </c>
      <c r="J142" s="218">
        <f t="shared" si="115"/>
        <v>62</v>
      </c>
      <c r="K142" s="218">
        <f t="shared" si="115"/>
        <v>-15</v>
      </c>
      <c r="L142" s="218">
        <f t="shared" si="115"/>
        <v>-320</v>
      </c>
      <c r="M142" s="222">
        <f t="shared" si="115"/>
        <v>928</v>
      </c>
      <c r="N142" s="16"/>
    </row>
    <row r="143" spans="1:14" x14ac:dyDescent="0.15">
      <c r="A143" s="217">
        <f t="shared" si="114"/>
        <v>43435</v>
      </c>
      <c r="B143" s="218">
        <f t="shared" ref="B143:M143" si="116">B108-B107</f>
        <v>-151</v>
      </c>
      <c r="C143" s="218">
        <f t="shared" si="116"/>
        <v>-2169</v>
      </c>
      <c r="D143" s="218">
        <f t="shared" si="116"/>
        <v>-1987</v>
      </c>
      <c r="E143" s="218">
        <f t="shared" si="116"/>
        <v>-1028</v>
      </c>
      <c r="F143" s="218">
        <f t="shared" si="116"/>
        <v>-864</v>
      </c>
      <c r="G143" s="218">
        <f t="shared" si="116"/>
        <v>-7900</v>
      </c>
      <c r="H143" s="218">
        <f t="shared" si="116"/>
        <v>-3287</v>
      </c>
      <c r="I143" s="218">
        <f t="shared" si="116"/>
        <v>-275</v>
      </c>
      <c r="J143" s="218">
        <f t="shared" si="116"/>
        <v>-210</v>
      </c>
      <c r="K143" s="218">
        <f t="shared" si="116"/>
        <v>-641</v>
      </c>
      <c r="L143" s="218">
        <f t="shared" si="116"/>
        <v>-845</v>
      </c>
      <c r="M143" s="222">
        <f t="shared" si="116"/>
        <v>-2631</v>
      </c>
      <c r="N143" s="16"/>
    </row>
    <row r="144" spans="1:14" x14ac:dyDescent="0.15">
      <c r="A144" s="217">
        <f t="shared" si="114"/>
        <v>43466</v>
      </c>
      <c r="B144" s="218">
        <f t="shared" ref="B144:M144" si="117">B109-B108</f>
        <v>10</v>
      </c>
      <c r="C144" s="218">
        <f t="shared" si="117"/>
        <v>-1216</v>
      </c>
      <c r="D144" s="218">
        <f t="shared" si="117"/>
        <v>694</v>
      </c>
      <c r="E144" s="218">
        <f t="shared" si="117"/>
        <v>456</v>
      </c>
      <c r="F144" s="218">
        <f t="shared" si="117"/>
        <v>867</v>
      </c>
      <c r="G144" s="218">
        <f t="shared" si="117"/>
        <v>8673</v>
      </c>
      <c r="H144" s="218">
        <f t="shared" si="117"/>
        <v>51933</v>
      </c>
      <c r="I144" s="218">
        <f t="shared" si="117"/>
        <v>39</v>
      </c>
      <c r="J144" s="218">
        <f t="shared" si="117"/>
        <v>-41</v>
      </c>
      <c r="K144" s="218">
        <f t="shared" si="117"/>
        <v>330</v>
      </c>
      <c r="L144" s="218">
        <f t="shared" si="117"/>
        <v>327</v>
      </c>
      <c r="M144" s="222">
        <f t="shared" si="117"/>
        <v>554</v>
      </c>
      <c r="N144" s="16"/>
    </row>
    <row r="145" spans="1:15" x14ac:dyDescent="0.15">
      <c r="A145" s="217">
        <f t="shared" si="114"/>
        <v>43497</v>
      </c>
      <c r="B145" s="218">
        <f t="shared" ref="B145:M145" si="118">B110-B109</f>
        <v>284</v>
      </c>
      <c r="C145" s="218">
        <f t="shared" si="118"/>
        <v>1591</v>
      </c>
      <c r="D145" s="218">
        <f t="shared" si="118"/>
        <v>-4213</v>
      </c>
      <c r="E145" s="218">
        <f t="shared" si="118"/>
        <v>440</v>
      </c>
      <c r="F145" s="218">
        <f t="shared" si="118"/>
        <v>23</v>
      </c>
      <c r="G145" s="218">
        <f t="shared" si="118"/>
        <v>-2289</v>
      </c>
      <c r="H145" s="218">
        <f t="shared" si="118"/>
        <v>-60746</v>
      </c>
      <c r="I145" s="218">
        <f t="shared" si="118"/>
        <v>-10</v>
      </c>
      <c r="J145" s="218">
        <f t="shared" si="118"/>
        <v>-164</v>
      </c>
      <c r="K145" s="218">
        <f t="shared" si="118"/>
        <v>50</v>
      </c>
      <c r="L145" s="218">
        <f t="shared" si="118"/>
        <v>-29</v>
      </c>
      <c r="M145" s="222">
        <f t="shared" si="118"/>
        <v>266</v>
      </c>
      <c r="N145" s="16"/>
    </row>
    <row r="146" spans="1:15" x14ac:dyDescent="0.15">
      <c r="A146" s="217">
        <f t="shared" si="114"/>
        <v>43525</v>
      </c>
      <c r="B146" s="218">
        <f t="shared" ref="B146:M146" si="119">B111-B110</f>
        <v>-145</v>
      </c>
      <c r="C146" s="218">
        <f t="shared" si="119"/>
        <v>2490</v>
      </c>
      <c r="D146" s="218">
        <f t="shared" si="119"/>
        <v>6679</v>
      </c>
      <c r="E146" s="218">
        <f t="shared" si="119"/>
        <v>1204</v>
      </c>
      <c r="F146" s="218">
        <f t="shared" si="119"/>
        <v>133</v>
      </c>
      <c r="G146" s="218">
        <f t="shared" si="119"/>
        <v>2824</v>
      </c>
      <c r="H146" s="218">
        <f t="shared" si="119"/>
        <v>2957</v>
      </c>
      <c r="I146" s="218">
        <f t="shared" si="119"/>
        <v>747</v>
      </c>
      <c r="J146" s="218">
        <f t="shared" si="119"/>
        <v>864</v>
      </c>
      <c r="K146" s="218">
        <f t="shared" si="119"/>
        <v>348</v>
      </c>
      <c r="L146" s="218">
        <f t="shared" si="119"/>
        <v>807</v>
      </c>
      <c r="M146" s="222">
        <f t="shared" si="119"/>
        <v>1759</v>
      </c>
      <c r="N146" s="16"/>
    </row>
    <row r="147" spans="1:15" x14ac:dyDescent="0.15">
      <c r="A147" s="217">
        <f t="shared" si="114"/>
        <v>43556</v>
      </c>
      <c r="B147" s="218">
        <f t="shared" ref="B147:M147" si="120">B112-B111</f>
        <v>50</v>
      </c>
      <c r="C147" s="218">
        <f t="shared" si="120"/>
        <v>975</v>
      </c>
      <c r="D147" s="218">
        <f t="shared" si="120"/>
        <v>-27</v>
      </c>
      <c r="E147" s="218">
        <f t="shared" si="120"/>
        <v>-56</v>
      </c>
      <c r="F147" s="218">
        <f t="shared" si="120"/>
        <v>-124</v>
      </c>
      <c r="G147" s="218">
        <f t="shared" si="120"/>
        <v>7725</v>
      </c>
      <c r="H147" s="218">
        <f t="shared" si="120"/>
        <v>2642</v>
      </c>
      <c r="I147" s="218">
        <f t="shared" si="120"/>
        <v>-249</v>
      </c>
      <c r="J147" s="218">
        <f t="shared" si="120"/>
        <v>-126</v>
      </c>
      <c r="K147" s="218">
        <f t="shared" si="120"/>
        <v>159</v>
      </c>
      <c r="L147" s="218">
        <f t="shared" si="120"/>
        <v>-213</v>
      </c>
      <c r="M147" s="222">
        <f t="shared" si="120"/>
        <v>857</v>
      </c>
      <c r="N147" s="16"/>
    </row>
    <row r="148" spans="1:15" x14ac:dyDescent="0.15">
      <c r="A148" s="217">
        <f t="shared" si="114"/>
        <v>43586</v>
      </c>
      <c r="B148" s="218">
        <f t="shared" ref="B148:M148" si="121">B113-B112</f>
        <v>-115</v>
      </c>
      <c r="C148" s="218">
        <f t="shared" si="121"/>
        <v>761</v>
      </c>
      <c r="D148" s="218">
        <f t="shared" si="121"/>
        <v>-1321</v>
      </c>
      <c r="E148" s="218">
        <f t="shared" si="121"/>
        <v>28</v>
      </c>
      <c r="F148" s="218">
        <f t="shared" si="121"/>
        <v>65</v>
      </c>
      <c r="G148" s="218">
        <f t="shared" si="121"/>
        <v>-3122</v>
      </c>
      <c r="H148" s="218">
        <f t="shared" si="121"/>
        <v>3143</v>
      </c>
      <c r="I148" s="218">
        <f t="shared" si="121"/>
        <v>53</v>
      </c>
      <c r="J148" s="218">
        <f t="shared" si="121"/>
        <v>-223</v>
      </c>
      <c r="K148" s="218">
        <f t="shared" si="121"/>
        <v>-271</v>
      </c>
      <c r="L148" s="218">
        <f t="shared" si="121"/>
        <v>-5</v>
      </c>
      <c r="M148" s="222">
        <f t="shared" si="121"/>
        <v>-478</v>
      </c>
      <c r="N148" s="16"/>
    </row>
    <row r="149" spans="1:15" x14ac:dyDescent="0.15">
      <c r="A149" s="217">
        <f t="shared" si="114"/>
        <v>43617</v>
      </c>
      <c r="B149" s="218">
        <f t="shared" ref="B149:M149" si="122">B114-B113</f>
        <v>-35</v>
      </c>
      <c r="C149" s="218">
        <f t="shared" si="122"/>
        <v>-1896</v>
      </c>
      <c r="D149" s="218">
        <f t="shared" si="122"/>
        <v>-2674</v>
      </c>
      <c r="E149" s="218">
        <f t="shared" si="122"/>
        <v>-222</v>
      </c>
      <c r="F149" s="218">
        <f t="shared" si="122"/>
        <v>-123</v>
      </c>
      <c r="G149" s="218">
        <f t="shared" si="122"/>
        <v>-6993</v>
      </c>
      <c r="H149" s="218">
        <f t="shared" si="122"/>
        <v>-8452</v>
      </c>
      <c r="I149" s="218">
        <f t="shared" si="122"/>
        <v>-314</v>
      </c>
      <c r="J149" s="218">
        <f t="shared" si="122"/>
        <v>385</v>
      </c>
      <c r="K149" s="218">
        <f t="shared" si="122"/>
        <v>-245</v>
      </c>
      <c r="L149" s="218">
        <f t="shared" si="122"/>
        <v>-3899</v>
      </c>
      <c r="M149" s="222">
        <f t="shared" si="122"/>
        <v>-1367</v>
      </c>
      <c r="N149" s="16"/>
    </row>
    <row r="150" spans="1:15" x14ac:dyDescent="0.15">
      <c r="A150" s="217">
        <f t="shared" si="114"/>
        <v>43647</v>
      </c>
      <c r="B150" s="218">
        <f t="shared" ref="B150:M150" si="123">B115-B114</f>
        <v>-24</v>
      </c>
      <c r="C150" s="218">
        <f t="shared" si="123"/>
        <v>1406</v>
      </c>
      <c r="D150" s="218">
        <f t="shared" si="123"/>
        <v>1585</v>
      </c>
      <c r="E150" s="218">
        <f t="shared" si="123"/>
        <v>1229</v>
      </c>
      <c r="F150" s="218">
        <f t="shared" si="123"/>
        <v>801</v>
      </c>
      <c r="G150" s="218">
        <f t="shared" si="123"/>
        <v>3284</v>
      </c>
      <c r="H150" s="218">
        <f t="shared" si="123"/>
        <v>7059</v>
      </c>
      <c r="I150" s="218">
        <f t="shared" si="123"/>
        <v>71</v>
      </c>
      <c r="J150" s="218">
        <f t="shared" si="123"/>
        <v>1071</v>
      </c>
      <c r="K150" s="218">
        <f t="shared" si="123"/>
        <v>109</v>
      </c>
      <c r="L150" s="218">
        <f t="shared" si="123"/>
        <v>-362</v>
      </c>
      <c r="M150" s="222">
        <f t="shared" si="123"/>
        <v>-370</v>
      </c>
      <c r="N150" s="16"/>
    </row>
    <row r="151" spans="1:15" x14ac:dyDescent="0.15">
      <c r="A151" s="217">
        <f t="shared" si="114"/>
        <v>43678</v>
      </c>
      <c r="B151" s="218">
        <f t="shared" ref="B151:M151" si="124">B116-B115</f>
        <v>-31</v>
      </c>
      <c r="C151" s="218">
        <f t="shared" si="124"/>
        <v>-106</v>
      </c>
      <c r="D151" s="218">
        <f t="shared" si="124"/>
        <v>19435</v>
      </c>
      <c r="E151" s="218">
        <f t="shared" si="124"/>
        <v>-818</v>
      </c>
      <c r="F151" s="218">
        <f t="shared" si="124"/>
        <v>606</v>
      </c>
      <c r="G151" s="218">
        <f t="shared" si="124"/>
        <v>-5903</v>
      </c>
      <c r="H151" s="218">
        <f t="shared" si="124"/>
        <v>39205</v>
      </c>
      <c r="I151" s="218">
        <f t="shared" si="124"/>
        <v>-241</v>
      </c>
      <c r="J151" s="218">
        <f t="shared" si="124"/>
        <v>-882</v>
      </c>
      <c r="K151" s="218">
        <f t="shared" si="124"/>
        <v>-218</v>
      </c>
      <c r="L151" s="218">
        <f t="shared" si="124"/>
        <v>132</v>
      </c>
      <c r="M151" s="222">
        <f t="shared" si="124"/>
        <v>-158</v>
      </c>
      <c r="N151" s="16"/>
    </row>
    <row r="152" spans="1:15" x14ac:dyDescent="0.15">
      <c r="A152" s="217">
        <f t="shared" si="114"/>
        <v>43709</v>
      </c>
      <c r="B152" s="218">
        <f t="shared" ref="B152:M152" si="125">B117-B116</f>
        <v>140</v>
      </c>
      <c r="C152" s="218">
        <f t="shared" si="125"/>
        <v>3177</v>
      </c>
      <c r="D152" s="218">
        <f t="shared" si="125"/>
        <v>-12588</v>
      </c>
      <c r="E152" s="218">
        <f t="shared" si="125"/>
        <v>1305</v>
      </c>
      <c r="F152" s="218">
        <f t="shared" si="125"/>
        <v>362</v>
      </c>
      <c r="G152" s="218">
        <f t="shared" si="125"/>
        <v>-3189</v>
      </c>
      <c r="H152" s="218">
        <f t="shared" si="125"/>
        <v>34486</v>
      </c>
      <c r="I152" s="218">
        <f t="shared" si="125"/>
        <v>48</v>
      </c>
      <c r="J152" s="218">
        <f t="shared" si="125"/>
        <v>-466</v>
      </c>
      <c r="K152" s="218">
        <f t="shared" si="125"/>
        <v>246</v>
      </c>
      <c r="L152" s="218">
        <f t="shared" si="125"/>
        <v>302</v>
      </c>
      <c r="M152" s="222">
        <f t="shared" si="125"/>
        <v>558</v>
      </c>
      <c r="N152" s="16"/>
    </row>
    <row r="155" spans="1:15" ht="12.75" customHeight="1" x14ac:dyDescent="0.15">
      <c r="A155" s="365" t="s">
        <v>46</v>
      </c>
      <c r="B155" s="366"/>
      <c r="C155" s="366"/>
      <c r="D155" s="366"/>
      <c r="E155" s="366"/>
      <c r="F155" s="366"/>
      <c r="G155" s="366"/>
      <c r="H155" s="366"/>
      <c r="I155" s="366"/>
      <c r="J155" s="366"/>
      <c r="K155" s="366"/>
      <c r="L155" s="366"/>
      <c r="M155" s="366"/>
    </row>
    <row r="156" spans="1:15" ht="28" x14ac:dyDescent="0.15">
      <c r="A156" s="33" t="s">
        <v>49</v>
      </c>
      <c r="B156" s="23" t="s">
        <v>5</v>
      </c>
      <c r="C156" s="23" t="s">
        <v>6</v>
      </c>
      <c r="D156" s="23" t="s">
        <v>7</v>
      </c>
      <c r="E156" s="23" t="s">
        <v>8</v>
      </c>
      <c r="F156" s="23" t="s">
        <v>9</v>
      </c>
      <c r="G156" s="23" t="s">
        <v>16</v>
      </c>
      <c r="H156" s="24" t="s">
        <v>133</v>
      </c>
      <c r="I156" s="23" t="s">
        <v>10</v>
      </c>
      <c r="J156" s="49" t="s">
        <v>19</v>
      </c>
      <c r="K156" s="23" t="s">
        <v>11</v>
      </c>
      <c r="L156" s="23" t="s">
        <v>14</v>
      </c>
      <c r="M156" s="23" t="s">
        <v>12</v>
      </c>
      <c r="N156" s="122" t="s">
        <v>48</v>
      </c>
      <c r="O156" s="30"/>
    </row>
    <row r="157" spans="1:15" x14ac:dyDescent="0.15">
      <c r="A157" s="231" t="s">
        <v>39</v>
      </c>
      <c r="B157" s="166">
        <v>1828.7103789062501</v>
      </c>
      <c r="C157" s="166">
        <v>255.6104873046875</v>
      </c>
      <c r="D157" s="166"/>
      <c r="E157" s="166">
        <v>219.88722949218749</v>
      </c>
      <c r="F157" s="166">
        <v>3.435041015625</v>
      </c>
      <c r="G157" s="166">
        <v>1761.525625</v>
      </c>
      <c r="H157" s="166">
        <v>180.68916015625001</v>
      </c>
      <c r="I157" s="166">
        <v>125.360509765625</v>
      </c>
      <c r="J157" s="166"/>
      <c r="K157" s="166"/>
      <c r="L157" s="166">
        <v>21.843390625000001</v>
      </c>
      <c r="M157" s="166"/>
      <c r="N157" s="166">
        <f t="shared" ref="N157:N164" si="126">SUM(B157:M157)</f>
        <v>4397.0618222656249</v>
      </c>
      <c r="O157" s="18">
        <f>N157/1024</f>
        <v>4.2940056858062743</v>
      </c>
    </row>
    <row r="158" spans="1:15" x14ac:dyDescent="0.15">
      <c r="A158" s="232" t="s">
        <v>40</v>
      </c>
      <c r="B158" s="166">
        <v>2359.018</v>
      </c>
      <c r="C158" s="166">
        <v>376.68700000000001</v>
      </c>
      <c r="D158" s="166"/>
      <c r="E158" s="166">
        <v>317.83100000000002</v>
      </c>
      <c r="F158" s="166">
        <v>5.3330000000000002</v>
      </c>
      <c r="G158" s="166">
        <v>759.51099999999997</v>
      </c>
      <c r="H158" s="166">
        <v>392.52600000000001</v>
      </c>
      <c r="I158" s="166">
        <v>63.571999999999996</v>
      </c>
      <c r="J158" s="166"/>
      <c r="K158" s="166">
        <v>0.38700000000000001</v>
      </c>
      <c r="L158" s="166">
        <v>29.620999999999999</v>
      </c>
      <c r="M158" s="166"/>
      <c r="N158" s="166">
        <f t="shared" si="126"/>
        <v>4304.4859999999999</v>
      </c>
      <c r="O158" s="18">
        <f t="shared" ref="O158:O164" si="127">N158/1024</f>
        <v>4.2035996093749999</v>
      </c>
    </row>
    <row r="159" spans="1:15" x14ac:dyDescent="0.15">
      <c r="A159" s="232" t="s">
        <v>41</v>
      </c>
      <c r="B159" s="166">
        <v>2082.8297632890626</v>
      </c>
      <c r="C159" s="166">
        <v>448.4706982421875</v>
      </c>
      <c r="D159" s="166"/>
      <c r="E159" s="166">
        <v>381.539158203125</v>
      </c>
      <c r="F159" s="166">
        <v>6.8242343749999996</v>
      </c>
      <c r="G159" s="166">
        <v>822.25268164062504</v>
      </c>
      <c r="H159" s="166">
        <v>768.33581738281248</v>
      </c>
      <c r="I159" s="166">
        <v>66.057981445312507</v>
      </c>
      <c r="J159" s="166"/>
      <c r="K159" s="166">
        <v>0.41019058227539062</v>
      </c>
      <c r="L159" s="166">
        <v>32.902135742187497</v>
      </c>
      <c r="M159" s="166">
        <v>2.722111328125</v>
      </c>
      <c r="N159" s="166">
        <f t="shared" si="126"/>
        <v>4612.3447722307128</v>
      </c>
      <c r="O159" s="18">
        <f t="shared" si="127"/>
        <v>4.5042429416315555</v>
      </c>
    </row>
    <row r="160" spans="1:15" ht="14" x14ac:dyDescent="0.15">
      <c r="A160" s="233" t="s">
        <v>42</v>
      </c>
      <c r="B160" s="166">
        <v>1780.1082324218751</v>
      </c>
      <c r="C160" s="166">
        <v>1801.57</v>
      </c>
      <c r="D160" s="166">
        <v>6.03</v>
      </c>
      <c r="E160" s="166">
        <v>422.22720703124997</v>
      </c>
      <c r="F160" s="166">
        <v>6.4231972656250003</v>
      </c>
      <c r="G160" s="166">
        <v>898.95026074218754</v>
      </c>
      <c r="H160" s="166">
        <v>882.08933593749998</v>
      </c>
      <c r="I160" s="166">
        <v>64.431476562499995</v>
      </c>
      <c r="J160" s="166"/>
      <c r="K160" s="166">
        <v>4.6073242187500002E-2</v>
      </c>
      <c r="L160" s="166">
        <v>36.163331054687497</v>
      </c>
      <c r="M160" s="166">
        <v>2.8863720703125</v>
      </c>
      <c r="N160" s="166">
        <f t="shared" si="126"/>
        <v>5900.925486328124</v>
      </c>
      <c r="O160" s="18">
        <f t="shared" si="127"/>
        <v>5.7626225452423085</v>
      </c>
    </row>
    <row r="161" spans="1:23" ht="14" x14ac:dyDescent="0.15">
      <c r="A161" s="233" t="s">
        <v>43</v>
      </c>
      <c r="B161" s="166">
        <v>2167.0134765624998</v>
      </c>
      <c r="C161" s="166">
        <v>2654.908486328125</v>
      </c>
      <c r="D161" s="166">
        <v>6.74</v>
      </c>
      <c r="E161" s="166">
        <v>515.71818359375004</v>
      </c>
      <c r="F161" s="166">
        <v>7.0876269531249996</v>
      </c>
      <c r="G161" s="166">
        <v>954.17966796874998</v>
      </c>
      <c r="H161" s="166">
        <v>1159.65796875</v>
      </c>
      <c r="I161" s="166">
        <v>63.890546874999998</v>
      </c>
      <c r="J161" s="166"/>
      <c r="K161" s="166">
        <v>0.615234375</v>
      </c>
      <c r="L161" s="166">
        <v>41.469843750000003</v>
      </c>
      <c r="M161" s="166">
        <v>3.3079492187500001</v>
      </c>
      <c r="N161" s="166">
        <f t="shared" si="126"/>
        <v>7574.5889843750001</v>
      </c>
      <c r="O161" s="18">
        <f t="shared" si="127"/>
        <v>7.397059555053711</v>
      </c>
    </row>
    <row r="162" spans="1:23" ht="14" x14ac:dyDescent="0.15">
      <c r="A162" s="233" t="s">
        <v>44</v>
      </c>
      <c r="B162" s="166">
        <v>2806.56</v>
      </c>
      <c r="C162" s="166">
        <v>3597.0542089843748</v>
      </c>
      <c r="D162" s="166">
        <v>7.9962792968749996</v>
      </c>
      <c r="E162" s="166">
        <v>668.55621093750005</v>
      </c>
      <c r="F162" s="166">
        <v>9.5370605468750007</v>
      </c>
      <c r="G162" s="166">
        <v>1066.3169921875001</v>
      </c>
      <c r="H162" s="166">
        <v>1543.9236425781251</v>
      </c>
      <c r="I162" s="166">
        <v>108.343125</v>
      </c>
      <c r="J162" s="166"/>
      <c r="K162" s="166">
        <v>143.19999999999999</v>
      </c>
      <c r="L162" s="166">
        <v>44.454013671875003</v>
      </c>
      <c r="M162" s="166">
        <v>3.3409765624999999</v>
      </c>
      <c r="N162" s="166">
        <f t="shared" si="126"/>
        <v>9999.2825097656259</v>
      </c>
      <c r="O162" s="18">
        <f t="shared" si="127"/>
        <v>9.7649243259429941</v>
      </c>
    </row>
    <row r="163" spans="1:23" ht="14" x14ac:dyDescent="0.15">
      <c r="A163" s="233" t="s">
        <v>45</v>
      </c>
      <c r="B163" s="166">
        <v>3268.5614688254918</v>
      </c>
      <c r="C163" s="166">
        <v>1486.062054989158</v>
      </c>
      <c r="D163" s="166">
        <v>11.422000000000001</v>
      </c>
      <c r="E163" s="166">
        <v>775.30918685094673</v>
      </c>
      <c r="F163" s="166">
        <v>8.8079055354310096</v>
      </c>
      <c r="G163" s="166">
        <v>1131.1058336851804</v>
      </c>
      <c r="H163" s="166">
        <v>2298.7438358583699</v>
      </c>
      <c r="I163" s="166">
        <v>121.28570499155356</v>
      </c>
      <c r="J163" s="166"/>
      <c r="K163" s="166">
        <v>175.490234375</v>
      </c>
      <c r="L163" s="166">
        <v>54.879029105307303</v>
      </c>
      <c r="M163" s="166">
        <v>3.3594172669090723</v>
      </c>
      <c r="N163" s="166">
        <f t="shared" si="126"/>
        <v>9335.0266714833451</v>
      </c>
      <c r="O163" s="18">
        <f t="shared" si="127"/>
        <v>9.1162369838704542</v>
      </c>
    </row>
    <row r="164" spans="1:23" ht="14" x14ac:dyDescent="0.15">
      <c r="A164" s="233" t="s">
        <v>47</v>
      </c>
      <c r="B164" s="166">
        <v>3475</v>
      </c>
      <c r="C164" s="166">
        <v>2136.66015625</v>
      </c>
      <c r="D164" s="166">
        <v>13.209765624999999</v>
      </c>
      <c r="E164" s="166">
        <v>1161.8378222656249</v>
      </c>
      <c r="F164" s="166">
        <v>9.8950976562499999</v>
      </c>
      <c r="G164" s="166">
        <v>2468.4033984375001</v>
      </c>
      <c r="H164" s="166">
        <v>5265.4695996093751</v>
      </c>
      <c r="I164" s="166">
        <v>177.02448242187498</v>
      </c>
      <c r="J164" s="166"/>
      <c r="K164" s="166">
        <v>183.447265625</v>
      </c>
      <c r="L164" s="166">
        <v>89.562392578125014</v>
      </c>
      <c r="M164" s="166">
        <v>3.3659960937500002</v>
      </c>
      <c r="N164" s="166">
        <f t="shared" si="126"/>
        <v>14983.875976562502</v>
      </c>
      <c r="O164" s="18">
        <f t="shared" si="127"/>
        <v>14.632691383361818</v>
      </c>
    </row>
    <row r="165" spans="1:23" ht="14" x14ac:dyDescent="0.15">
      <c r="A165" s="234" t="s">
        <v>79</v>
      </c>
      <c r="B165" s="235">
        <v>4159.7939453125</v>
      </c>
      <c r="C165" s="235">
        <v>2656.0791894531249</v>
      </c>
      <c r="D165" s="235">
        <v>17.5</v>
      </c>
      <c r="E165" s="235">
        <v>1425.640654296875</v>
      </c>
      <c r="F165" s="235">
        <v>13.584150390625</v>
      </c>
      <c r="G165" s="235">
        <v>2933.262939453125</v>
      </c>
      <c r="H165" s="235">
        <v>6075.106201171875</v>
      </c>
      <c r="I165" s="235">
        <v>277.42061523437502</v>
      </c>
      <c r="J165" s="235"/>
      <c r="K165" s="235">
        <v>197.0810546875</v>
      </c>
      <c r="L165" s="235">
        <v>164.003359375</v>
      </c>
      <c r="M165" s="235">
        <v>3.7205468750000001</v>
      </c>
      <c r="N165" s="166">
        <f>SUM(B165:M165)</f>
        <v>17923.192656250001</v>
      </c>
      <c r="O165" s="18">
        <f>N165/1024</f>
        <v>17.503117828369142</v>
      </c>
    </row>
    <row r="166" spans="1:23" ht="14" x14ac:dyDescent="0.15">
      <c r="A166" s="234" t="s">
        <v>99</v>
      </c>
      <c r="B166" s="235">
        <v>4179.5</v>
      </c>
      <c r="C166" s="235">
        <v>5230.0020340442661</v>
      </c>
      <c r="D166" s="235">
        <v>20.16</v>
      </c>
      <c r="E166" s="235">
        <v>1682.9938281249999</v>
      </c>
      <c r="F166" s="235">
        <v>16.097031250000001</v>
      </c>
      <c r="G166" s="235">
        <v>3104.99</v>
      </c>
      <c r="H166" s="235">
        <v>5817.7347851562499</v>
      </c>
      <c r="I166" s="235">
        <v>428.189697265625</v>
      </c>
      <c r="J166" s="235">
        <v>3445.9434108734131</v>
      </c>
      <c r="K166" s="235">
        <v>202.5</v>
      </c>
      <c r="L166" s="235">
        <v>245.70528320312502</v>
      </c>
      <c r="M166" s="235">
        <v>3.88087890625</v>
      </c>
      <c r="N166" s="166">
        <f>SUM(B166:M166)</f>
        <v>24377.69694882393</v>
      </c>
      <c r="O166" s="18">
        <f>N166/1024</f>
        <v>23.806344676585869</v>
      </c>
    </row>
    <row r="167" spans="1:23" ht="14" x14ac:dyDescent="0.15">
      <c r="A167" s="234" t="s">
        <v>107</v>
      </c>
      <c r="B167" s="235">
        <v>5008.96</v>
      </c>
      <c r="C167" s="235">
        <v>6550.8367006601075</v>
      </c>
      <c r="D167" s="235">
        <v>16.437886757196779</v>
      </c>
      <c r="E167" s="235">
        <v>2098.7129058316209</v>
      </c>
      <c r="F167" s="235">
        <v>27.6</v>
      </c>
      <c r="G167" s="235">
        <v>3005.56</v>
      </c>
      <c r="H167" s="235">
        <v>5239.0061333785934</v>
      </c>
      <c r="I167" s="235">
        <v>619.30999999999995</v>
      </c>
      <c r="J167" s="235">
        <v>4931.5839999999998</v>
      </c>
      <c r="K167" s="235">
        <v>203.05</v>
      </c>
      <c r="L167" s="235">
        <v>314.8735548427951</v>
      </c>
      <c r="M167" s="235">
        <v>6.3339475886841603</v>
      </c>
      <c r="N167" s="166">
        <f>SUM(B167:M167)</f>
        <v>28022.265129058993</v>
      </c>
      <c r="O167" s="18">
        <f>N167/1024</f>
        <v>27.365493290096673</v>
      </c>
    </row>
    <row r="168" spans="1:23" ht="14" x14ac:dyDescent="0.15">
      <c r="A168" s="275" t="s">
        <v>149</v>
      </c>
      <c r="B168" s="276">
        <v>5554.9</v>
      </c>
      <c r="C168" s="276">
        <v>9657.3361523437507</v>
      </c>
      <c r="D168" s="276">
        <v>30.91</v>
      </c>
      <c r="E168" s="276">
        <v>2478.9318164062502</v>
      </c>
      <c r="F168" s="276">
        <v>32.299999999999997</v>
      </c>
      <c r="G168" s="276">
        <v>3322.23</v>
      </c>
      <c r="H168" s="276">
        <v>6965.8571582031254</v>
      </c>
      <c r="I168" s="276">
        <v>1058.0313964843749</v>
      </c>
      <c r="J168" s="276">
        <v>4577.28</v>
      </c>
      <c r="K168" s="276">
        <v>260.52</v>
      </c>
      <c r="L168" s="276">
        <v>456.55</v>
      </c>
      <c r="M168" s="276">
        <v>7.0993457031249996</v>
      </c>
      <c r="N168" s="166">
        <f>SUM(B168:M168)</f>
        <v>34401.945869140618</v>
      </c>
      <c r="O168" s="18">
        <f>N168/1024</f>
        <v>33.595650262832635</v>
      </c>
    </row>
    <row r="170" spans="1:23" ht="12.75" customHeight="1" x14ac:dyDescent="0.15">
      <c r="A170" s="363" t="s">
        <v>50</v>
      </c>
      <c r="B170" s="364"/>
      <c r="C170" s="364"/>
      <c r="D170" s="364"/>
      <c r="E170" s="364"/>
      <c r="F170" s="364"/>
      <c r="G170" s="364"/>
      <c r="H170" s="364"/>
      <c r="I170"/>
    </row>
    <row r="171" spans="1:23" ht="14" x14ac:dyDescent="0.15">
      <c r="A171" s="31" t="s">
        <v>38</v>
      </c>
      <c r="B171" s="123" t="s">
        <v>5</v>
      </c>
      <c r="C171" s="123" t="s">
        <v>6</v>
      </c>
      <c r="D171" s="123" t="s">
        <v>7</v>
      </c>
      <c r="E171" s="123" t="s">
        <v>51</v>
      </c>
      <c r="F171" s="123" t="s">
        <v>9</v>
      </c>
      <c r="G171" s="123" t="s">
        <v>16</v>
      </c>
      <c r="H171" s="123" t="s">
        <v>133</v>
      </c>
      <c r="I171" s="123" t="s">
        <v>10</v>
      </c>
      <c r="J171" s="49" t="s">
        <v>19</v>
      </c>
      <c r="K171" s="124" t="s">
        <v>11</v>
      </c>
      <c r="L171" s="123" t="s">
        <v>14</v>
      </c>
      <c r="M171" s="123" t="s">
        <v>12</v>
      </c>
      <c r="N171"/>
      <c r="O171"/>
      <c r="P171"/>
      <c r="Q171"/>
      <c r="R171"/>
      <c r="S171"/>
      <c r="T171"/>
      <c r="U171"/>
      <c r="V171"/>
      <c r="W171"/>
    </row>
    <row r="172" spans="1:23" ht="14" x14ac:dyDescent="0.15">
      <c r="A172" s="236" t="s">
        <v>39</v>
      </c>
      <c r="B172" s="237">
        <v>2.6576141684055352E-3</v>
      </c>
      <c r="C172" s="237">
        <v>4.2850024912805179E-2</v>
      </c>
      <c r="D172" s="237"/>
      <c r="E172" s="237">
        <v>0.16945548561694312</v>
      </c>
      <c r="F172" s="237"/>
      <c r="G172" s="237">
        <v>3.6466484818673699E-2</v>
      </c>
      <c r="H172" s="237">
        <v>0.37612140147288553</v>
      </c>
      <c r="I172" s="237">
        <v>2.2101237652255103E-2</v>
      </c>
      <c r="J172" s="237"/>
      <c r="K172" s="237">
        <v>0.20388598818796541</v>
      </c>
      <c r="L172" s="237">
        <v>0.3592377107575398</v>
      </c>
      <c r="M172" s="237"/>
      <c r="N172"/>
      <c r="O172"/>
      <c r="P172"/>
      <c r="Q172"/>
      <c r="R172"/>
      <c r="S172"/>
      <c r="T172"/>
      <c r="U172"/>
      <c r="V172"/>
      <c r="W172"/>
    </row>
    <row r="173" spans="1:23" ht="14" x14ac:dyDescent="0.15">
      <c r="A173" s="236" t="s">
        <v>40</v>
      </c>
      <c r="B173" s="237">
        <v>3.0116919157454165E-3</v>
      </c>
      <c r="C173" s="237">
        <v>6.5149136577708003E-2</v>
      </c>
      <c r="D173" s="237">
        <v>0.44433094994892747</v>
      </c>
      <c r="E173" s="237">
        <v>0.12795633717404487</v>
      </c>
      <c r="F173" s="237">
        <v>0.15365489806066635</v>
      </c>
      <c r="G173" s="237">
        <v>8.0339235573892609E-2</v>
      </c>
      <c r="H173" s="237">
        <v>0.3058103975535168</v>
      </c>
      <c r="I173" s="237">
        <v>3.9931447566698966E-3</v>
      </c>
      <c r="J173" s="237"/>
      <c r="K173" s="237">
        <v>0.23837126091312438</v>
      </c>
      <c r="L173" s="237">
        <v>0.30162634959682932</v>
      </c>
      <c r="M173" s="237">
        <v>8.0167851693126846E-2</v>
      </c>
      <c r="N173"/>
      <c r="O173"/>
      <c r="P173"/>
      <c r="Q173"/>
      <c r="R173"/>
      <c r="S173"/>
      <c r="T173"/>
      <c r="U173"/>
      <c r="V173"/>
      <c r="W173"/>
    </row>
    <row r="174" spans="1:23" ht="14" x14ac:dyDescent="0.15">
      <c r="A174" s="236" t="s">
        <v>41</v>
      </c>
      <c r="B174" s="237">
        <v>4.2365347001569369E-3</v>
      </c>
      <c r="C174" s="237">
        <v>4.4993735049550065E-2</v>
      </c>
      <c r="D174" s="237">
        <v>0.4325581395348837</v>
      </c>
      <c r="E174" s="237">
        <v>0.24312821204724699</v>
      </c>
      <c r="F174" s="237">
        <v>0.1547310900201323</v>
      </c>
      <c r="G174" s="237">
        <v>0.13444174335822193</v>
      </c>
      <c r="H174" s="237">
        <v>0.31578103282369291</v>
      </c>
      <c r="I174" s="237">
        <v>6.7906928177372478E-3</v>
      </c>
      <c r="J174" s="237"/>
      <c r="K174" s="237">
        <v>0.31703153988868277</v>
      </c>
      <c r="L174" s="237">
        <v>0.35940032414910861</v>
      </c>
      <c r="M174" s="237">
        <v>0.27430263839031882</v>
      </c>
      <c r="N174"/>
      <c r="O174"/>
      <c r="P174"/>
      <c r="Q174"/>
      <c r="R174"/>
      <c r="S174"/>
      <c r="T174"/>
      <c r="U174"/>
      <c r="V174"/>
      <c r="W174"/>
    </row>
    <row r="175" spans="1:23" ht="14" x14ac:dyDescent="0.15">
      <c r="A175" s="236" t="s">
        <v>42</v>
      </c>
      <c r="B175" s="237">
        <v>1.804059133049361E-3</v>
      </c>
      <c r="C175" s="237">
        <v>0.14648586707410235</v>
      </c>
      <c r="D175" s="237">
        <v>0.46153846153846156</v>
      </c>
      <c r="E175" s="237">
        <v>0.25707862269766241</v>
      </c>
      <c r="F175" s="237">
        <v>0.18175937904269082</v>
      </c>
      <c r="G175" s="237">
        <v>3.7928462661984526E-2</v>
      </c>
      <c r="H175" s="237">
        <v>4.3380262737380361E-2</v>
      </c>
      <c r="I175" s="237">
        <v>1.4999808587129399E-3</v>
      </c>
      <c r="J175" s="237"/>
      <c r="K175" s="237">
        <v>0.38507605701281589</v>
      </c>
      <c r="L175" s="237">
        <v>0.13245337159253945</v>
      </c>
      <c r="M175" s="237">
        <v>0.23747127802868234</v>
      </c>
      <c r="N175"/>
      <c r="O175"/>
      <c r="P175"/>
      <c r="Q175"/>
      <c r="R175"/>
      <c r="S175"/>
      <c r="T175"/>
      <c r="U175"/>
      <c r="V175"/>
      <c r="W175"/>
    </row>
    <row r="176" spans="1:23" ht="14" x14ac:dyDescent="0.15">
      <c r="A176" s="236" t="s">
        <v>43</v>
      </c>
      <c r="B176" s="237">
        <v>5.3350104639941012E-3</v>
      </c>
      <c r="C176" s="237">
        <v>0.20397167487684728</v>
      </c>
      <c r="D176" s="237">
        <v>0.45710095331214862</v>
      </c>
      <c r="E176" s="237">
        <v>0.32813815121172546</v>
      </c>
      <c r="F176" s="237">
        <v>0.18018433179723503</v>
      </c>
      <c r="G176" s="237">
        <v>4.5725031726096932E-2</v>
      </c>
      <c r="H176" s="237">
        <v>4.3854362508434164E-2</v>
      </c>
      <c r="I176" s="237">
        <v>1.9530765487696666E-2</v>
      </c>
      <c r="J176" s="237"/>
      <c r="K176" s="237">
        <v>0.35461946373889014</v>
      </c>
      <c r="L176" s="237">
        <v>0.12790491396132694</v>
      </c>
      <c r="M176" s="237">
        <v>0.32130439995204413</v>
      </c>
      <c r="N176"/>
      <c r="O176"/>
      <c r="P176"/>
      <c r="Q176"/>
      <c r="R176"/>
      <c r="S176"/>
      <c r="T176"/>
      <c r="U176"/>
      <c r="V176"/>
      <c r="W176"/>
    </row>
    <row r="177" spans="1:23" ht="14" x14ac:dyDescent="0.15">
      <c r="A177" s="236" t="s">
        <v>44</v>
      </c>
      <c r="B177" s="237">
        <v>7.2200100691107143E-3</v>
      </c>
      <c r="C177" s="237">
        <v>0.20597179983411668</v>
      </c>
      <c r="D177" s="237">
        <v>0.5045189797148022</v>
      </c>
      <c r="E177" s="237">
        <v>0.37452845127096934</v>
      </c>
      <c r="F177" s="237">
        <v>0.20057361376673041</v>
      </c>
      <c r="G177" s="237">
        <v>0.17976792544861755</v>
      </c>
      <c r="H177" s="237">
        <v>5.8026532011448598E-2</v>
      </c>
      <c r="I177" s="237">
        <v>7.6260909433726798E-3</v>
      </c>
      <c r="J177" s="237"/>
      <c r="K177" s="237">
        <v>0.38641611593279718</v>
      </c>
      <c r="L177" s="237">
        <v>0.37919999999999998</v>
      </c>
      <c r="M177" s="237">
        <v>0.44425840829096597</v>
      </c>
      <c r="N177"/>
      <c r="O177"/>
      <c r="P177"/>
      <c r="Q177"/>
      <c r="R177"/>
      <c r="S177"/>
      <c r="T177"/>
      <c r="U177"/>
      <c r="V177"/>
      <c r="W177"/>
    </row>
    <row r="178" spans="1:23" ht="14" x14ac:dyDescent="0.15">
      <c r="A178" s="236" t="s">
        <v>45</v>
      </c>
      <c r="B178" s="237">
        <v>1.308025876164072E-2</v>
      </c>
      <c r="C178" s="237">
        <v>0.14301525812317178</v>
      </c>
      <c r="D178" s="237">
        <v>0.46902654867256638</v>
      </c>
      <c r="E178" s="237">
        <v>0.41089104025421636</v>
      </c>
      <c r="F178" s="237">
        <v>0.21420784883720931</v>
      </c>
      <c r="G178" s="237">
        <v>0.1921027354903225</v>
      </c>
      <c r="H178" s="237">
        <v>8.1791067069328469E-2</v>
      </c>
      <c r="I178" s="237">
        <v>2.2872950029919167E-2</v>
      </c>
      <c r="J178" s="237"/>
      <c r="K178" s="237">
        <v>0.38235742604452577</v>
      </c>
      <c r="L178" s="237">
        <v>0.46317441419990257</v>
      </c>
      <c r="M178" s="237">
        <v>0.53636570770725156</v>
      </c>
      <c r="N178"/>
      <c r="O178"/>
      <c r="P178"/>
      <c r="Q178"/>
      <c r="R178"/>
      <c r="S178"/>
      <c r="T178"/>
      <c r="U178"/>
      <c r="V178"/>
      <c r="W178"/>
    </row>
    <row r="179" spans="1:23" ht="14" x14ac:dyDescent="0.15">
      <c r="A179" s="236" t="s">
        <v>47</v>
      </c>
      <c r="B179" s="238">
        <v>9.3063551506343978E-3</v>
      </c>
      <c r="C179" s="238">
        <v>0.15005534433803358</v>
      </c>
      <c r="D179" s="238">
        <v>0.43352601156069365</v>
      </c>
      <c r="E179" s="238">
        <v>0.35548922384829218</v>
      </c>
      <c r="F179" s="238">
        <v>0.19592668024439919</v>
      </c>
      <c r="G179" s="238">
        <v>0.1811757891688387</v>
      </c>
      <c r="H179" s="238">
        <v>7.4258150022375985E-2</v>
      </c>
      <c r="I179" s="238">
        <v>2.2209925097333938E-2</v>
      </c>
      <c r="J179" s="238"/>
      <c r="K179" s="238">
        <v>0.3804569942411295</v>
      </c>
      <c r="L179" s="238">
        <v>0.30471387666139577</v>
      </c>
      <c r="M179" s="238">
        <v>0.66219541877383237</v>
      </c>
      <c r="N179"/>
      <c r="O179"/>
      <c r="P179"/>
      <c r="Q179"/>
      <c r="R179"/>
      <c r="S179"/>
      <c r="T179"/>
      <c r="U179"/>
      <c r="V179"/>
      <c r="W179"/>
    </row>
    <row r="180" spans="1:23" ht="14" x14ac:dyDescent="0.15">
      <c r="A180" s="236" t="s">
        <v>79</v>
      </c>
      <c r="B180" s="238">
        <v>8.9196205948127386E-3</v>
      </c>
      <c r="C180" s="238">
        <v>0.28227502356723311</v>
      </c>
      <c r="D180" s="238">
        <v>0.43611111111111112</v>
      </c>
      <c r="E180" s="238">
        <v>0.36126485905789485</v>
      </c>
      <c r="F180" s="238">
        <v>0.10375166002656043</v>
      </c>
      <c r="G180" s="238">
        <v>0.24775192716871883</v>
      </c>
      <c r="H180" s="238">
        <v>4.9782989069920694E-2</v>
      </c>
      <c r="I180" s="238">
        <v>2.1062864549578744E-2</v>
      </c>
      <c r="J180" s="238"/>
      <c r="K180" s="238">
        <v>0.24058648533786656</v>
      </c>
      <c r="L180" s="238">
        <v>0.31115350981795054</v>
      </c>
      <c r="M180" s="238">
        <v>0.64436276862734343</v>
      </c>
    </row>
    <row r="181" spans="1:23" ht="14" x14ac:dyDescent="0.15">
      <c r="A181" s="236" t="s">
        <v>99</v>
      </c>
      <c r="B181" s="238">
        <v>8.712842290232831E-3</v>
      </c>
      <c r="C181" s="238">
        <v>0.55823526083512509</v>
      </c>
      <c r="D181" s="238">
        <v>0.42523162178543594</v>
      </c>
      <c r="E181" s="238">
        <v>0.38022714452891504</v>
      </c>
      <c r="F181" s="238">
        <v>0.15262592428742969</v>
      </c>
      <c r="G181" s="238">
        <v>0.32284028536173714</v>
      </c>
      <c r="H181" s="238">
        <v>4.4672441541228819E-2</v>
      </c>
      <c r="I181" s="238">
        <v>2.854713716836561E-2</v>
      </c>
      <c r="J181" s="238"/>
      <c r="K181" s="238">
        <v>0.23174839767476524</v>
      </c>
      <c r="L181" s="238">
        <v>0.3167139227455168</v>
      </c>
      <c r="M181" s="238">
        <v>0.55262922038846141</v>
      </c>
    </row>
    <row r="182" spans="1:23" ht="14" x14ac:dyDescent="0.15">
      <c r="A182" s="236" t="s">
        <v>107</v>
      </c>
      <c r="B182" s="238">
        <v>7.1431478692661485E-3</v>
      </c>
      <c r="C182" s="238">
        <v>0.4168061412448924</v>
      </c>
      <c r="D182" s="238">
        <v>0.43991263713937423</v>
      </c>
      <c r="E182" s="238">
        <v>0.39628506200495184</v>
      </c>
      <c r="F182" s="238">
        <v>0.25718252052148721</v>
      </c>
      <c r="G182" s="238">
        <v>0.29646412946384909</v>
      </c>
      <c r="H182" s="238">
        <v>1.7952873706520385E-2</v>
      </c>
      <c r="I182" s="238">
        <v>1.6933669693787727E-2</v>
      </c>
      <c r="J182" s="238"/>
      <c r="K182" s="238">
        <v>0.20900817074234537</v>
      </c>
      <c r="L182" s="238">
        <v>0.31003674616326826</v>
      </c>
      <c r="M182" s="238">
        <v>0.24505321765842303</v>
      </c>
      <c r="O182" s="35"/>
    </row>
    <row r="183" spans="1:23" ht="14" x14ac:dyDescent="0.15">
      <c r="A183" s="37" t="s">
        <v>149</v>
      </c>
      <c r="B183" s="277">
        <v>5.1523253771541206E-3</v>
      </c>
      <c r="C183" s="277">
        <v>0.41821498650968847</v>
      </c>
      <c r="D183" s="277">
        <v>0.40542324923367129</v>
      </c>
      <c r="E183" s="277">
        <v>0.39183681279779559</v>
      </c>
      <c r="F183" s="277">
        <v>0.29913370998116762</v>
      </c>
      <c r="G183" s="277">
        <v>0.27058645650242863</v>
      </c>
      <c r="H183" s="277">
        <v>2.6685601841538575E-2</v>
      </c>
      <c r="I183" s="277">
        <v>1.2598580677588827E-2</v>
      </c>
      <c r="J183" s="277"/>
      <c r="K183" s="277">
        <v>0.20213306246825799</v>
      </c>
      <c r="L183" s="277">
        <v>0.2608115889323272</v>
      </c>
      <c r="M183" s="277">
        <v>0.22780461142034869</v>
      </c>
      <c r="O183" s="35" t="s">
        <v>113</v>
      </c>
    </row>
    <row r="184" spans="1:23" x14ac:dyDescent="0.15">
      <c r="A184"/>
      <c r="B184"/>
      <c r="C184"/>
      <c r="D184"/>
      <c r="E184"/>
      <c r="F184"/>
      <c r="G184"/>
      <c r="H184"/>
      <c r="I184"/>
    </row>
    <row r="185" spans="1:23" x14ac:dyDescent="0.15">
      <c r="A185" s="34" t="s">
        <v>174</v>
      </c>
      <c r="B185"/>
      <c r="C185"/>
      <c r="D185"/>
      <c r="E185"/>
      <c r="F185"/>
      <c r="G185"/>
      <c r="H185"/>
      <c r="I185"/>
    </row>
    <row r="186" spans="1:23" x14ac:dyDescent="0.15">
      <c r="A186" s="27" t="s">
        <v>18</v>
      </c>
      <c r="B186" s="125" t="s">
        <v>5</v>
      </c>
      <c r="C186" s="125" t="s">
        <v>6</v>
      </c>
      <c r="D186" s="125" t="s">
        <v>7</v>
      </c>
      <c r="E186" s="125" t="s">
        <v>51</v>
      </c>
      <c r="F186" s="125" t="s">
        <v>9</v>
      </c>
      <c r="G186" s="125" t="s">
        <v>52</v>
      </c>
      <c r="H186" s="125" t="s">
        <v>133</v>
      </c>
      <c r="I186" s="125" t="s">
        <v>10</v>
      </c>
      <c r="J186" s="125" t="s">
        <v>19</v>
      </c>
      <c r="K186" s="125" t="s">
        <v>11</v>
      </c>
      <c r="L186" s="125" t="s">
        <v>14</v>
      </c>
      <c r="M186" s="125" t="s">
        <v>12</v>
      </c>
      <c r="O186" s="35" t="s">
        <v>114</v>
      </c>
    </row>
    <row r="187" spans="1:23" x14ac:dyDescent="0.15">
      <c r="A187" s="128">
        <f t="shared" ref="A187:A198" si="128">A141</f>
        <v>43374</v>
      </c>
      <c r="B187" s="226">
        <v>7784</v>
      </c>
      <c r="C187" s="226">
        <v>18061</v>
      </c>
      <c r="D187" s="226">
        <v>2317</v>
      </c>
      <c r="E187" s="226">
        <v>14447</v>
      </c>
      <c r="F187" s="226">
        <v>2399</v>
      </c>
      <c r="G187" s="226">
        <v>19358</v>
      </c>
      <c r="H187" s="226">
        <v>10824</v>
      </c>
      <c r="I187" s="226">
        <v>73081</v>
      </c>
      <c r="J187" s="226"/>
      <c r="K187" s="226">
        <v>4653</v>
      </c>
      <c r="L187" s="226">
        <v>4388</v>
      </c>
      <c r="M187" s="226">
        <v>10733</v>
      </c>
      <c r="O187" s="35"/>
    </row>
    <row r="188" spans="1:23" x14ac:dyDescent="0.15">
      <c r="A188" s="128">
        <f t="shared" si="128"/>
        <v>43405</v>
      </c>
      <c r="B188" s="226">
        <v>6398</v>
      </c>
      <c r="C188" s="226">
        <v>17201</v>
      </c>
      <c r="D188" s="226">
        <v>2303</v>
      </c>
      <c r="E188" s="226">
        <v>14393</v>
      </c>
      <c r="F188" s="226">
        <v>1692</v>
      </c>
      <c r="G188" s="226">
        <v>17595</v>
      </c>
      <c r="H188" s="226">
        <v>14442</v>
      </c>
      <c r="I188" s="226">
        <v>73422</v>
      </c>
      <c r="J188" s="226"/>
      <c r="K188" s="226">
        <v>4445</v>
      </c>
      <c r="L188" s="226">
        <v>3781</v>
      </c>
      <c r="M188" s="226">
        <v>10747</v>
      </c>
    </row>
    <row r="189" spans="1:23" x14ac:dyDescent="0.15">
      <c r="A189" s="128">
        <f t="shared" si="128"/>
        <v>43435</v>
      </c>
      <c r="B189" s="226">
        <v>4685</v>
      </c>
      <c r="C189" s="226">
        <v>15236</v>
      </c>
      <c r="D189" s="226">
        <v>2151</v>
      </c>
      <c r="E189" s="226">
        <v>11570</v>
      </c>
      <c r="F189" s="226">
        <v>1271</v>
      </c>
      <c r="G189" s="226">
        <v>15161</v>
      </c>
      <c r="H189" s="226">
        <v>12233</v>
      </c>
      <c r="I189" s="226">
        <v>68167</v>
      </c>
      <c r="J189" s="226"/>
      <c r="K189" s="226">
        <v>3225</v>
      </c>
      <c r="L189" s="226">
        <v>3031</v>
      </c>
      <c r="M189" s="226">
        <v>8093</v>
      </c>
    </row>
    <row r="190" spans="1:23" x14ac:dyDescent="0.15">
      <c r="A190" s="128">
        <f t="shared" si="128"/>
        <v>43466</v>
      </c>
      <c r="B190" s="226">
        <v>5616</v>
      </c>
      <c r="C190" s="226">
        <v>13103</v>
      </c>
      <c r="D190" s="226">
        <v>1982</v>
      </c>
      <c r="E190" s="226">
        <v>12816</v>
      </c>
      <c r="F190" s="226">
        <v>1483</v>
      </c>
      <c r="G190" s="226">
        <v>16878</v>
      </c>
      <c r="H190" s="226">
        <v>16710</v>
      </c>
      <c r="I190" s="226">
        <v>81329</v>
      </c>
      <c r="J190" s="226"/>
      <c r="K190" s="226">
        <v>4098</v>
      </c>
      <c r="L190" s="226">
        <v>4107</v>
      </c>
      <c r="M190" s="226">
        <v>10274</v>
      </c>
    </row>
    <row r="191" spans="1:23" x14ac:dyDescent="0.15">
      <c r="A191" s="128">
        <f t="shared" si="128"/>
        <v>43497</v>
      </c>
      <c r="B191" s="226">
        <v>5346</v>
      </c>
      <c r="C191" s="226">
        <v>15894</v>
      </c>
      <c r="D191" s="226">
        <v>2086</v>
      </c>
      <c r="E191" s="226">
        <v>12125</v>
      </c>
      <c r="F191" s="226">
        <v>1388</v>
      </c>
      <c r="G191" s="226">
        <v>16106</v>
      </c>
      <c r="H191" s="226">
        <v>14982</v>
      </c>
      <c r="I191" s="226">
        <v>72449</v>
      </c>
      <c r="J191" s="226"/>
      <c r="K191" s="226">
        <v>4157</v>
      </c>
      <c r="L191" s="226">
        <v>3792</v>
      </c>
      <c r="M191" s="226">
        <v>9567</v>
      </c>
    </row>
    <row r="192" spans="1:23" x14ac:dyDescent="0.15">
      <c r="A192" s="128">
        <f t="shared" si="128"/>
        <v>43525</v>
      </c>
      <c r="B192" s="226">
        <v>6714</v>
      </c>
      <c r="C192" s="226">
        <v>19602</v>
      </c>
      <c r="D192" s="226">
        <v>2673</v>
      </c>
      <c r="E192" s="226">
        <v>15683</v>
      </c>
      <c r="F192" s="226">
        <v>1565</v>
      </c>
      <c r="G192" s="226">
        <v>21417</v>
      </c>
      <c r="H192" s="226">
        <v>9322</v>
      </c>
      <c r="I192" s="226">
        <v>79005</v>
      </c>
      <c r="J192" s="226"/>
      <c r="K192" s="226">
        <v>4799</v>
      </c>
      <c r="L192" s="226">
        <v>3883</v>
      </c>
      <c r="M192" s="226">
        <v>11422</v>
      </c>
    </row>
    <row r="193" spans="1:30" x14ac:dyDescent="0.15">
      <c r="A193" s="128">
        <f t="shared" si="128"/>
        <v>43556</v>
      </c>
      <c r="B193" s="226">
        <v>5945</v>
      </c>
      <c r="C193" s="226">
        <v>22014</v>
      </c>
      <c r="D193" s="226">
        <v>2402</v>
      </c>
      <c r="E193" s="226">
        <v>16194</v>
      </c>
      <c r="F193" s="226">
        <v>2143</v>
      </c>
      <c r="G193" s="226">
        <v>21305</v>
      </c>
      <c r="H193" s="226">
        <v>7694</v>
      </c>
      <c r="I193" s="226">
        <v>78740</v>
      </c>
      <c r="J193" s="226"/>
      <c r="K193" s="226">
        <v>4682</v>
      </c>
      <c r="L193" s="226">
        <v>3565</v>
      </c>
      <c r="M193" s="226">
        <v>11705</v>
      </c>
    </row>
    <row r="194" spans="1:30" x14ac:dyDescent="0.15">
      <c r="A194" s="128">
        <f t="shared" si="128"/>
        <v>43586</v>
      </c>
      <c r="B194" s="226">
        <v>6125</v>
      </c>
      <c r="C194" s="226">
        <v>22791</v>
      </c>
      <c r="D194" s="226">
        <v>2376</v>
      </c>
      <c r="E194" s="226">
        <v>14962</v>
      </c>
      <c r="F194" s="226">
        <v>1647</v>
      </c>
      <c r="G194" s="226">
        <v>19312</v>
      </c>
      <c r="H194" s="226">
        <v>8444</v>
      </c>
      <c r="I194" s="226">
        <v>82477</v>
      </c>
      <c r="J194" s="226"/>
      <c r="K194" s="226">
        <v>4624</v>
      </c>
      <c r="L194" s="226">
        <v>4300</v>
      </c>
      <c r="M194" s="226">
        <v>9570</v>
      </c>
    </row>
    <row r="195" spans="1:30" x14ac:dyDescent="0.15">
      <c r="A195" s="128">
        <f t="shared" si="128"/>
        <v>43617</v>
      </c>
      <c r="B195" s="226">
        <v>4779</v>
      </c>
      <c r="C195" s="226">
        <v>19298</v>
      </c>
      <c r="D195" s="226">
        <v>2181</v>
      </c>
      <c r="E195" s="226">
        <v>12182</v>
      </c>
      <c r="F195" s="226">
        <v>1288</v>
      </c>
      <c r="G195" s="226">
        <v>15893</v>
      </c>
      <c r="H195" s="226">
        <v>7267</v>
      </c>
      <c r="I195" s="226">
        <v>85627</v>
      </c>
      <c r="J195" s="226"/>
      <c r="K195" s="226">
        <v>3677</v>
      </c>
      <c r="L195" s="226">
        <v>4146</v>
      </c>
      <c r="M195" s="226">
        <v>7946</v>
      </c>
    </row>
    <row r="196" spans="1:30" x14ac:dyDescent="0.15">
      <c r="A196" s="128">
        <f t="shared" si="128"/>
        <v>43647</v>
      </c>
      <c r="B196" s="226">
        <v>4047</v>
      </c>
      <c r="C196" s="226">
        <v>17945</v>
      </c>
      <c r="D196" s="226">
        <v>2352</v>
      </c>
      <c r="E196" s="226">
        <v>12668</v>
      </c>
      <c r="F196" s="226">
        <v>1346</v>
      </c>
      <c r="G196" s="226">
        <v>16730</v>
      </c>
      <c r="H196" s="226">
        <v>8416</v>
      </c>
      <c r="I196" s="226">
        <v>93831</v>
      </c>
      <c r="J196" s="226"/>
      <c r="K196" s="226">
        <v>3723</v>
      </c>
      <c r="L196" s="226">
        <v>4215</v>
      </c>
      <c r="M196" s="226">
        <v>8477</v>
      </c>
    </row>
    <row r="197" spans="1:30" x14ac:dyDescent="0.15">
      <c r="A197" s="128">
        <f t="shared" si="128"/>
        <v>43678</v>
      </c>
      <c r="B197" s="226">
        <v>3717</v>
      </c>
      <c r="C197" s="226">
        <v>7254</v>
      </c>
      <c r="D197" s="226">
        <v>1876</v>
      </c>
      <c r="E197" s="226">
        <v>11323</v>
      </c>
      <c r="F197" s="226">
        <v>1301</v>
      </c>
      <c r="G197" s="226">
        <v>16951</v>
      </c>
      <c r="H197" s="226">
        <v>23917</v>
      </c>
      <c r="I197" s="226">
        <v>104433</v>
      </c>
      <c r="J197" s="226"/>
      <c r="K197" s="226">
        <v>3679</v>
      </c>
      <c r="L197" s="226">
        <v>4179</v>
      </c>
      <c r="M197" s="226">
        <v>8300</v>
      </c>
    </row>
    <row r="198" spans="1:30" x14ac:dyDescent="0.15">
      <c r="A198" s="128">
        <f t="shared" si="128"/>
        <v>43709</v>
      </c>
      <c r="B198" s="226">
        <v>4798</v>
      </c>
      <c r="C198" s="226">
        <v>8826</v>
      </c>
      <c r="D198" s="226">
        <v>2114</v>
      </c>
      <c r="E198" s="226">
        <v>12581</v>
      </c>
      <c r="F198" s="226">
        <v>1398</v>
      </c>
      <c r="G198" s="226">
        <v>16831</v>
      </c>
      <c r="H198" s="226">
        <v>11260</v>
      </c>
      <c r="I198" s="226">
        <v>93922</v>
      </c>
      <c r="J198" s="226"/>
      <c r="K198" s="226">
        <v>4276</v>
      </c>
      <c r="L198" s="226">
        <v>4353</v>
      </c>
      <c r="M198" s="226">
        <v>10123</v>
      </c>
      <c r="AC198" s="12">
        <v>32997</v>
      </c>
      <c r="AD198" s="12">
        <v>89647</v>
      </c>
    </row>
    <row r="199" spans="1:30" x14ac:dyDescent="0.15">
      <c r="A199" s="180" t="s">
        <v>56</v>
      </c>
      <c r="B199" s="145">
        <f>SUM(B187:B198)</f>
        <v>65954</v>
      </c>
      <c r="C199" s="145">
        <f t="shared" ref="C199:M199" si="129">SUM(C187:C198)</f>
        <v>197225</v>
      </c>
      <c r="D199" s="145">
        <f t="shared" si="129"/>
        <v>26813</v>
      </c>
      <c r="E199" s="145">
        <f t="shared" si="129"/>
        <v>160944</v>
      </c>
      <c r="F199" s="145">
        <f t="shared" si="129"/>
        <v>18921</v>
      </c>
      <c r="G199" s="145">
        <f t="shared" si="129"/>
        <v>213537</v>
      </c>
      <c r="H199" s="145">
        <f t="shared" si="129"/>
        <v>145511</v>
      </c>
      <c r="I199" s="145">
        <f t="shared" si="129"/>
        <v>986483</v>
      </c>
      <c r="J199" s="145">
        <f t="shared" si="129"/>
        <v>0</v>
      </c>
      <c r="K199" s="145">
        <f t="shared" si="129"/>
        <v>50038</v>
      </c>
      <c r="L199" s="145">
        <f t="shared" si="129"/>
        <v>47740</v>
      </c>
      <c r="M199" s="145">
        <f t="shared" si="129"/>
        <v>116957</v>
      </c>
    </row>
    <row r="200" spans="1:30" x14ac:dyDescent="0.15">
      <c r="A200" s="181" t="s">
        <v>31</v>
      </c>
      <c r="B200" s="138">
        <f>AVERAGE(B187:B198)</f>
        <v>5496.166666666667</v>
      </c>
      <c r="C200" s="138">
        <f t="shared" ref="C200:M200" si="130">AVERAGE(C187:C198)</f>
        <v>16435.416666666668</v>
      </c>
      <c r="D200" s="138">
        <f t="shared" si="130"/>
        <v>2234.4166666666665</v>
      </c>
      <c r="E200" s="138">
        <f t="shared" si="130"/>
        <v>13412</v>
      </c>
      <c r="F200" s="138">
        <f t="shared" si="130"/>
        <v>1576.75</v>
      </c>
      <c r="G200" s="138">
        <f t="shared" si="130"/>
        <v>17794.75</v>
      </c>
      <c r="H200" s="138">
        <f t="shared" si="130"/>
        <v>12125.916666666666</v>
      </c>
      <c r="I200" s="138">
        <f t="shared" si="130"/>
        <v>82206.916666666672</v>
      </c>
      <c r="J200" s="138"/>
      <c r="K200" s="138">
        <f t="shared" si="130"/>
        <v>4169.833333333333</v>
      </c>
      <c r="L200" s="138">
        <f t="shared" si="130"/>
        <v>3978.3333333333335</v>
      </c>
      <c r="M200" s="138">
        <f t="shared" si="130"/>
        <v>9746.4166666666661</v>
      </c>
    </row>
    <row r="201" spans="1:30" x14ac:dyDescent="0.15">
      <c r="A201" s="196" t="s">
        <v>150</v>
      </c>
      <c r="B201" s="261">
        <v>51239</v>
      </c>
      <c r="C201" s="261">
        <v>130464</v>
      </c>
      <c r="D201" s="261">
        <v>21205</v>
      </c>
      <c r="E201" s="261">
        <v>104518</v>
      </c>
      <c r="F201" s="261">
        <v>13275</v>
      </c>
      <c r="G201" s="261">
        <v>158733</v>
      </c>
      <c r="H201" s="261">
        <v>107736</v>
      </c>
      <c r="I201" s="261">
        <v>668488</v>
      </c>
      <c r="J201" s="261"/>
      <c r="K201" s="261">
        <v>37411</v>
      </c>
      <c r="L201" s="261">
        <v>32997</v>
      </c>
      <c r="M201" s="261">
        <v>89647</v>
      </c>
      <c r="N201" s="35"/>
      <c r="O201" s="35" t="s">
        <v>118</v>
      </c>
    </row>
    <row r="202" spans="1:30" x14ac:dyDescent="0.15">
      <c r="A202" s="196" t="s">
        <v>109</v>
      </c>
      <c r="B202" s="156">
        <v>49138</v>
      </c>
      <c r="C202" s="156">
        <v>106949</v>
      </c>
      <c r="D202" s="156">
        <v>19688</v>
      </c>
      <c r="E202" s="156">
        <v>93299</v>
      </c>
      <c r="F202" s="156">
        <v>16568</v>
      </c>
      <c r="G202" s="156">
        <v>153371</v>
      </c>
      <c r="H202" s="156">
        <v>136357</v>
      </c>
      <c r="I202" s="156">
        <v>541879</v>
      </c>
      <c r="J202" s="156"/>
      <c r="K202" s="156">
        <v>34391</v>
      </c>
      <c r="L202" s="156">
        <v>27758</v>
      </c>
      <c r="M202" s="156">
        <v>83337</v>
      </c>
      <c r="N202" s="35"/>
      <c r="O202" s="35"/>
    </row>
    <row r="203" spans="1:30" x14ac:dyDescent="0.15">
      <c r="A203" s="36"/>
      <c r="B203" s="21"/>
      <c r="C203" s="21"/>
      <c r="D203" s="21"/>
      <c r="E203" s="21"/>
      <c r="F203" s="21"/>
      <c r="G203" s="8"/>
      <c r="H203" s="8"/>
      <c r="I203" s="8"/>
      <c r="J203" s="8"/>
      <c r="K203" s="8"/>
      <c r="L203" s="8"/>
    </row>
    <row r="204" spans="1:30" x14ac:dyDescent="0.15">
      <c r="A204" s="34" t="s">
        <v>175</v>
      </c>
      <c r="B204"/>
      <c r="C204"/>
      <c r="D204"/>
      <c r="E204"/>
      <c r="F204"/>
      <c r="G204"/>
      <c r="H204"/>
      <c r="I204"/>
    </row>
    <row r="205" spans="1:30" x14ac:dyDescent="0.15">
      <c r="A205" s="27" t="s">
        <v>18</v>
      </c>
      <c r="B205" s="125" t="s">
        <v>5</v>
      </c>
      <c r="C205" s="125" t="s">
        <v>6</v>
      </c>
      <c r="D205" s="125" t="s">
        <v>7</v>
      </c>
      <c r="E205" s="125" t="s">
        <v>51</v>
      </c>
      <c r="F205" s="125" t="s">
        <v>9</v>
      </c>
      <c r="G205" s="125" t="s">
        <v>52</v>
      </c>
      <c r="H205" s="125" t="s">
        <v>133</v>
      </c>
      <c r="I205" s="125" t="s">
        <v>10</v>
      </c>
      <c r="J205" s="125" t="s">
        <v>19</v>
      </c>
      <c r="K205" s="125" t="s">
        <v>11</v>
      </c>
      <c r="L205" s="125" t="s">
        <v>14</v>
      </c>
      <c r="M205" s="125" t="s">
        <v>12</v>
      </c>
      <c r="N205" s="169"/>
    </row>
    <row r="206" spans="1:30" x14ac:dyDescent="0.15">
      <c r="A206" s="128">
        <f>A141</f>
        <v>43374</v>
      </c>
      <c r="B206" s="8">
        <v>5483</v>
      </c>
      <c r="C206" s="8">
        <v>15398</v>
      </c>
      <c r="D206" s="8">
        <v>2052</v>
      </c>
      <c r="E206" s="8">
        <v>7583</v>
      </c>
      <c r="F206" s="8">
        <v>481</v>
      </c>
      <c r="G206" s="8">
        <v>16533</v>
      </c>
      <c r="H206" s="8">
        <v>6843</v>
      </c>
      <c r="I206" s="8">
        <v>48338</v>
      </c>
      <c r="J206" s="8"/>
      <c r="K206" s="8">
        <v>4508</v>
      </c>
      <c r="L206" s="8">
        <v>3812</v>
      </c>
      <c r="M206" s="8">
        <v>9613</v>
      </c>
      <c r="N206" s="21"/>
    </row>
    <row r="207" spans="1:30" x14ac:dyDescent="0.15">
      <c r="A207" s="128">
        <f t="shared" ref="A207:A217" si="131">A142</f>
        <v>43405</v>
      </c>
      <c r="B207" s="8">
        <v>4707</v>
      </c>
      <c r="C207" s="8">
        <v>14795</v>
      </c>
      <c r="D207" s="8">
        <v>2014</v>
      </c>
      <c r="E207" s="8">
        <v>7760</v>
      </c>
      <c r="F207" s="8">
        <v>286</v>
      </c>
      <c r="G207" s="8">
        <v>15491</v>
      </c>
      <c r="H207" s="8">
        <v>6739</v>
      </c>
      <c r="I207" s="8">
        <v>51232</v>
      </c>
      <c r="J207" s="8"/>
      <c r="K207" s="8">
        <v>4696</v>
      </c>
      <c r="L207" s="8">
        <v>3901</v>
      </c>
      <c r="M207" s="8">
        <v>9592</v>
      </c>
      <c r="N207" s="21"/>
    </row>
    <row r="208" spans="1:30" x14ac:dyDescent="0.15">
      <c r="A208" s="128">
        <f t="shared" si="131"/>
        <v>43435</v>
      </c>
      <c r="B208" s="8">
        <v>3321</v>
      </c>
      <c r="C208" s="8">
        <v>12172</v>
      </c>
      <c r="D208" s="8">
        <v>1883</v>
      </c>
      <c r="E208" s="8">
        <v>6595</v>
      </c>
      <c r="F208" s="8">
        <v>209</v>
      </c>
      <c r="G208" s="8">
        <v>12914</v>
      </c>
      <c r="H208" s="8">
        <v>6200</v>
      </c>
      <c r="I208" s="8">
        <v>49901</v>
      </c>
      <c r="J208" s="8"/>
      <c r="K208" s="8">
        <v>3458</v>
      </c>
      <c r="L208" s="8">
        <v>2963</v>
      </c>
      <c r="M208" s="8">
        <v>6804</v>
      </c>
      <c r="N208" s="21"/>
    </row>
    <row r="209" spans="1:14" x14ac:dyDescent="0.15">
      <c r="A209" s="128">
        <f t="shared" si="131"/>
        <v>43466</v>
      </c>
      <c r="B209" s="8">
        <v>4150</v>
      </c>
      <c r="C209" s="8">
        <v>11030</v>
      </c>
      <c r="D209" s="8">
        <v>1776</v>
      </c>
      <c r="E209" s="8">
        <v>7672</v>
      </c>
      <c r="F209" s="8">
        <v>231</v>
      </c>
      <c r="G209" s="8">
        <v>15077</v>
      </c>
      <c r="H209" s="8">
        <v>6529</v>
      </c>
      <c r="I209" s="8">
        <v>59656</v>
      </c>
      <c r="J209" s="8"/>
      <c r="K209" s="8">
        <v>4084</v>
      </c>
      <c r="L209" s="8">
        <v>4108</v>
      </c>
      <c r="M209" s="8">
        <v>8566</v>
      </c>
      <c r="N209" s="21"/>
    </row>
    <row r="210" spans="1:14" x14ac:dyDescent="0.15">
      <c r="A210" s="128">
        <f t="shared" si="131"/>
        <v>43497</v>
      </c>
      <c r="B210" s="8">
        <v>3907</v>
      </c>
      <c r="C210" s="8">
        <v>13377</v>
      </c>
      <c r="D210" s="8">
        <v>1853</v>
      </c>
      <c r="E210" s="8">
        <v>7977</v>
      </c>
      <c r="F210" s="8">
        <v>158</v>
      </c>
      <c r="G210" s="8">
        <v>14724</v>
      </c>
      <c r="H210" s="8">
        <v>5367</v>
      </c>
      <c r="I210" s="8">
        <v>52729</v>
      </c>
      <c r="J210" s="8"/>
      <c r="K210" s="8">
        <v>4337</v>
      </c>
      <c r="L210" s="8">
        <v>3894</v>
      </c>
      <c r="M210" s="8">
        <v>8733</v>
      </c>
      <c r="N210" s="21"/>
    </row>
    <row r="211" spans="1:14" x14ac:dyDescent="0.15">
      <c r="A211" s="128">
        <f t="shared" si="131"/>
        <v>43525</v>
      </c>
      <c r="B211" s="8">
        <v>4831</v>
      </c>
      <c r="C211" s="8">
        <v>15929</v>
      </c>
      <c r="D211" s="8">
        <v>2336</v>
      </c>
      <c r="E211" s="8">
        <v>9967</v>
      </c>
      <c r="F211" s="8">
        <v>614</v>
      </c>
      <c r="G211" s="8">
        <v>18037</v>
      </c>
      <c r="H211" s="8">
        <v>8006</v>
      </c>
      <c r="I211" s="8">
        <v>56225</v>
      </c>
      <c r="J211" s="8"/>
      <c r="K211" s="8">
        <v>4957</v>
      </c>
      <c r="L211" s="8">
        <v>4023</v>
      </c>
      <c r="M211" s="8">
        <v>9661</v>
      </c>
      <c r="N211" s="21"/>
    </row>
    <row r="212" spans="1:14" x14ac:dyDescent="0.15">
      <c r="A212" s="128">
        <f t="shared" si="131"/>
        <v>43556</v>
      </c>
      <c r="B212" s="8">
        <v>4274</v>
      </c>
      <c r="C212" s="8">
        <v>17280</v>
      </c>
      <c r="D212" s="8">
        <v>2067</v>
      </c>
      <c r="E212" s="8">
        <v>10316</v>
      </c>
      <c r="F212" s="8">
        <v>1026</v>
      </c>
      <c r="G212" s="8">
        <v>17292</v>
      </c>
      <c r="H212" s="8">
        <v>8777</v>
      </c>
      <c r="I212" s="8">
        <v>50675</v>
      </c>
      <c r="J212" s="8"/>
      <c r="K212" s="8">
        <v>5174</v>
      </c>
      <c r="L212" s="8">
        <v>3574</v>
      </c>
      <c r="M212" s="8">
        <v>9664</v>
      </c>
      <c r="N212" s="21"/>
    </row>
    <row r="213" spans="1:14" x14ac:dyDescent="0.15">
      <c r="A213" s="128">
        <f t="shared" si="131"/>
        <v>43586</v>
      </c>
      <c r="B213" s="8">
        <v>4473</v>
      </c>
      <c r="C213" s="8">
        <v>17702</v>
      </c>
      <c r="D213" s="8">
        <v>2023</v>
      </c>
      <c r="E213" s="8">
        <v>9824</v>
      </c>
      <c r="F213" s="8">
        <v>1076</v>
      </c>
      <c r="G213" s="8">
        <v>15481</v>
      </c>
      <c r="H213" s="8">
        <v>7750</v>
      </c>
      <c r="I213" s="8">
        <v>50200</v>
      </c>
      <c r="J213" s="8"/>
      <c r="K213" s="8">
        <v>4897</v>
      </c>
      <c r="L213" s="8">
        <v>4266</v>
      </c>
      <c r="M213" s="8">
        <v>8348</v>
      </c>
      <c r="N213" s="21"/>
    </row>
    <row r="214" spans="1:14" x14ac:dyDescent="0.15">
      <c r="A214" s="128">
        <f t="shared" si="131"/>
        <v>43617</v>
      </c>
      <c r="B214" s="8">
        <v>3696</v>
      </c>
      <c r="C214" s="8">
        <v>14975</v>
      </c>
      <c r="D214" s="8">
        <v>1866</v>
      </c>
      <c r="E214" s="8">
        <v>8276</v>
      </c>
      <c r="F214" s="8">
        <v>822</v>
      </c>
      <c r="G214" s="8">
        <v>12614</v>
      </c>
      <c r="H214" s="8">
        <v>5894</v>
      </c>
      <c r="I214" s="8">
        <v>45481</v>
      </c>
      <c r="J214" s="8"/>
      <c r="K214" s="8">
        <v>3890</v>
      </c>
      <c r="L214" s="8">
        <v>3492</v>
      </c>
      <c r="M214" s="8">
        <v>6519</v>
      </c>
      <c r="N214" s="21"/>
    </row>
    <row r="215" spans="1:14" x14ac:dyDescent="0.15">
      <c r="A215" s="128">
        <f t="shared" si="131"/>
        <v>43647</v>
      </c>
      <c r="B215" s="8">
        <v>3511</v>
      </c>
      <c r="C215" s="8">
        <v>14188</v>
      </c>
      <c r="D215" s="8">
        <v>1981</v>
      </c>
      <c r="E215" s="8">
        <v>8253</v>
      </c>
      <c r="F215" s="8">
        <v>989</v>
      </c>
      <c r="G215" s="8">
        <v>13178</v>
      </c>
      <c r="H215" s="8">
        <v>6625</v>
      </c>
      <c r="I215" s="8">
        <v>44403</v>
      </c>
      <c r="J215" s="8"/>
      <c r="K215" s="8">
        <v>3911</v>
      </c>
      <c r="L215" s="8">
        <v>3723</v>
      </c>
      <c r="M215" s="8">
        <v>6604</v>
      </c>
      <c r="N215" s="21"/>
    </row>
    <row r="216" spans="1:14" x14ac:dyDescent="0.15">
      <c r="A216" s="128">
        <f t="shared" si="131"/>
        <v>43678</v>
      </c>
      <c r="B216" s="8">
        <v>3393</v>
      </c>
      <c r="C216" s="8">
        <v>6707</v>
      </c>
      <c r="D216" s="8">
        <v>1658</v>
      </c>
      <c r="E216" s="8">
        <v>7762</v>
      </c>
      <c r="F216" s="8">
        <v>990</v>
      </c>
      <c r="G216" s="8">
        <v>14102</v>
      </c>
      <c r="H216" s="8">
        <v>5899</v>
      </c>
      <c r="I216" s="8">
        <v>50382</v>
      </c>
      <c r="J216" s="8"/>
      <c r="K216" s="8">
        <v>3712</v>
      </c>
      <c r="L216" s="8">
        <v>3456</v>
      </c>
      <c r="M216" s="8">
        <v>6541</v>
      </c>
      <c r="N216" s="21"/>
    </row>
    <row r="217" spans="1:14" x14ac:dyDescent="0.15">
      <c r="A217" s="128">
        <f t="shared" si="131"/>
        <v>43709</v>
      </c>
      <c r="B217" s="8">
        <v>4434</v>
      </c>
      <c r="C217" s="8">
        <v>7828</v>
      </c>
      <c r="D217" s="8">
        <v>1861</v>
      </c>
      <c r="E217" s="8">
        <v>11241</v>
      </c>
      <c r="F217" s="8">
        <v>1161</v>
      </c>
      <c r="G217" s="8">
        <v>13350</v>
      </c>
      <c r="H217" s="8">
        <v>6859</v>
      </c>
      <c r="I217" s="8">
        <v>57253</v>
      </c>
      <c r="J217" s="8"/>
      <c r="K217" s="8">
        <v>4583</v>
      </c>
      <c r="L217" s="8">
        <v>4088</v>
      </c>
      <c r="M217" s="8">
        <v>8452</v>
      </c>
      <c r="N217" s="21"/>
    </row>
    <row r="218" spans="1:14" x14ac:dyDescent="0.15">
      <c r="A218" s="180" t="s">
        <v>56</v>
      </c>
      <c r="B218" s="145">
        <f>SUM(B206:B217)</f>
        <v>50180</v>
      </c>
      <c r="C218" s="145">
        <f t="shared" ref="C218:M218" si="132">SUM(C206:C217)</f>
        <v>161381</v>
      </c>
      <c r="D218" s="145">
        <f t="shared" si="132"/>
        <v>23370</v>
      </c>
      <c r="E218" s="145">
        <f t="shared" si="132"/>
        <v>103226</v>
      </c>
      <c r="F218" s="145">
        <f t="shared" si="132"/>
        <v>8043</v>
      </c>
      <c r="G218" s="145">
        <f t="shared" si="132"/>
        <v>178793</v>
      </c>
      <c r="H218" s="145">
        <f t="shared" si="132"/>
        <v>81488</v>
      </c>
      <c r="I218" s="145">
        <f t="shared" si="132"/>
        <v>616475</v>
      </c>
      <c r="J218" s="145">
        <f t="shared" si="132"/>
        <v>0</v>
      </c>
      <c r="K218" s="145">
        <f t="shared" si="132"/>
        <v>52207</v>
      </c>
      <c r="L218" s="145">
        <f t="shared" si="132"/>
        <v>45300</v>
      </c>
      <c r="M218" s="145">
        <f t="shared" si="132"/>
        <v>99097</v>
      </c>
      <c r="N218" s="21"/>
    </row>
    <row r="219" spans="1:14" x14ac:dyDescent="0.15">
      <c r="A219" s="181" t="s">
        <v>31</v>
      </c>
      <c r="B219" s="138">
        <f>AVERAGE(B206:B217)</f>
        <v>4181.666666666667</v>
      </c>
      <c r="C219" s="138">
        <f t="shared" ref="C219:I219" si="133">AVERAGE(C206:C217)</f>
        <v>13448.416666666666</v>
      </c>
      <c r="D219" s="138">
        <f t="shared" si="133"/>
        <v>1947.5</v>
      </c>
      <c r="E219" s="138">
        <f t="shared" si="133"/>
        <v>8602.1666666666661</v>
      </c>
      <c r="F219" s="138">
        <f t="shared" si="133"/>
        <v>670.25</v>
      </c>
      <c r="G219" s="138">
        <f t="shared" si="133"/>
        <v>14899.416666666666</v>
      </c>
      <c r="H219" s="138">
        <f t="shared" si="133"/>
        <v>6790.666666666667</v>
      </c>
      <c r="I219" s="138">
        <f t="shared" si="133"/>
        <v>51372.916666666664</v>
      </c>
      <c r="J219" s="138"/>
      <c r="K219" s="138">
        <f t="shared" ref="K219:M219" si="134">AVERAGE(K206:K217)</f>
        <v>4350.583333333333</v>
      </c>
      <c r="L219" s="138">
        <f t="shared" si="134"/>
        <v>3775</v>
      </c>
      <c r="M219" s="138">
        <f t="shared" si="134"/>
        <v>8258.0833333333339</v>
      </c>
    </row>
    <row r="220" spans="1:14" x14ac:dyDescent="0.15">
      <c r="A220" s="196" t="s">
        <v>150</v>
      </c>
      <c r="B220" s="106">
        <v>45365</v>
      </c>
      <c r="C220" s="106">
        <v>134217</v>
      </c>
      <c r="D220" s="106">
        <v>20405</v>
      </c>
      <c r="E220" s="106">
        <v>85292</v>
      </c>
      <c r="F220" s="106">
        <v>7398</v>
      </c>
      <c r="G220" s="106">
        <v>152381</v>
      </c>
      <c r="H220" s="106">
        <v>62430</v>
      </c>
      <c r="I220" s="106">
        <v>529431</v>
      </c>
      <c r="J220" s="106"/>
      <c r="K220" s="106">
        <v>45672</v>
      </c>
      <c r="L220" s="106">
        <v>38963</v>
      </c>
      <c r="M220" s="106">
        <v>92528</v>
      </c>
    </row>
    <row r="221" spans="1:14" x14ac:dyDescent="0.15">
      <c r="A221" s="196" t="s">
        <v>109</v>
      </c>
      <c r="B221" s="156">
        <v>49138</v>
      </c>
      <c r="C221" s="156">
        <v>106949</v>
      </c>
      <c r="D221" s="156">
        <v>19688</v>
      </c>
      <c r="E221" s="156">
        <v>93299</v>
      </c>
      <c r="F221" s="156">
        <v>16568</v>
      </c>
      <c r="G221" s="156">
        <v>153371</v>
      </c>
      <c r="H221" s="156">
        <v>136357</v>
      </c>
      <c r="I221" s="156">
        <v>541879</v>
      </c>
      <c r="J221" s="156"/>
      <c r="K221" s="156">
        <v>34391</v>
      </c>
      <c r="L221" s="156">
        <v>27758</v>
      </c>
      <c r="M221" s="156">
        <v>83337</v>
      </c>
      <c r="N221" s="21"/>
    </row>
    <row r="222" spans="1:14" x14ac:dyDescent="0.15">
      <c r="B222" s="357" t="s">
        <v>58</v>
      </c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21"/>
    </row>
    <row r="223" spans="1:14" ht="28" x14ac:dyDescent="0.15">
      <c r="A223" s="170" t="s">
        <v>18</v>
      </c>
      <c r="B223" s="171" t="s">
        <v>5</v>
      </c>
      <c r="C223" s="171" t="s">
        <v>6</v>
      </c>
      <c r="D223" s="171" t="s">
        <v>7</v>
      </c>
      <c r="E223" s="171" t="s">
        <v>8</v>
      </c>
      <c r="F223" s="171" t="s">
        <v>9</v>
      </c>
      <c r="G223" s="172" t="s">
        <v>16</v>
      </c>
      <c r="H223" s="173" t="s">
        <v>133</v>
      </c>
      <c r="I223" s="172" t="s">
        <v>10</v>
      </c>
      <c r="J223" s="172" t="str">
        <f>J186</f>
        <v>OB.DAAC</v>
      </c>
      <c r="K223" s="172" t="s">
        <v>11</v>
      </c>
      <c r="L223" s="172" t="s">
        <v>14</v>
      </c>
      <c r="M223" s="172" t="s">
        <v>12</v>
      </c>
      <c r="N223" s="21"/>
    </row>
    <row r="224" spans="1:14" x14ac:dyDescent="0.15">
      <c r="A224" s="174">
        <f t="shared" ref="A224:A235" si="135">A141</f>
        <v>43374</v>
      </c>
      <c r="B224" s="175">
        <f t="shared" ref="B224:I235" si="136">B187-B$200</f>
        <v>2287.833333333333</v>
      </c>
      <c r="C224" s="175">
        <f t="shared" si="136"/>
        <v>1625.5833333333321</v>
      </c>
      <c r="D224" s="175">
        <f t="shared" si="136"/>
        <v>82.583333333333485</v>
      </c>
      <c r="E224" s="175">
        <f t="shared" si="136"/>
        <v>1035</v>
      </c>
      <c r="F224" s="175">
        <f t="shared" si="136"/>
        <v>822.25</v>
      </c>
      <c r="G224" s="175">
        <f t="shared" si="136"/>
        <v>1563.25</v>
      </c>
      <c r="H224" s="175">
        <f t="shared" si="136"/>
        <v>-1301.9166666666661</v>
      </c>
      <c r="I224" s="175">
        <f t="shared" si="136"/>
        <v>-9125.9166666666715</v>
      </c>
      <c r="J224" s="175"/>
      <c r="K224" s="175">
        <f t="shared" ref="K224:M235" si="137">K187-K$200</f>
        <v>483.16666666666697</v>
      </c>
      <c r="L224" s="175">
        <f t="shared" si="137"/>
        <v>409.66666666666652</v>
      </c>
      <c r="M224" s="175">
        <f t="shared" si="137"/>
        <v>986.58333333333394</v>
      </c>
      <c r="N224" s="21"/>
    </row>
    <row r="225" spans="1:34" x14ac:dyDescent="0.15">
      <c r="A225" s="174">
        <f t="shared" si="135"/>
        <v>43405</v>
      </c>
      <c r="B225" s="175">
        <f t="shared" si="136"/>
        <v>901.83333333333303</v>
      </c>
      <c r="C225" s="175">
        <f t="shared" si="136"/>
        <v>765.58333333333212</v>
      </c>
      <c r="D225" s="175">
        <f t="shared" si="136"/>
        <v>68.583333333333485</v>
      </c>
      <c r="E225" s="175">
        <f t="shared" si="136"/>
        <v>981</v>
      </c>
      <c r="F225" s="175">
        <f t="shared" si="136"/>
        <v>115.25</v>
      </c>
      <c r="G225" s="175">
        <f t="shared" si="136"/>
        <v>-199.75</v>
      </c>
      <c r="H225" s="175">
        <f t="shared" si="136"/>
        <v>2316.0833333333339</v>
      </c>
      <c r="I225" s="175">
        <f t="shared" si="136"/>
        <v>-8784.9166666666715</v>
      </c>
      <c r="J225" s="175"/>
      <c r="K225" s="175">
        <f t="shared" si="137"/>
        <v>275.16666666666697</v>
      </c>
      <c r="L225" s="175">
        <f t="shared" si="137"/>
        <v>-197.33333333333348</v>
      </c>
      <c r="M225" s="175">
        <f t="shared" si="137"/>
        <v>1000.5833333333339</v>
      </c>
      <c r="N225" s="21"/>
    </row>
    <row r="226" spans="1:34" x14ac:dyDescent="0.15">
      <c r="A226" s="174">
        <f t="shared" si="135"/>
        <v>43435</v>
      </c>
      <c r="B226" s="175">
        <f t="shared" si="136"/>
        <v>-811.16666666666697</v>
      </c>
      <c r="C226" s="175">
        <f t="shared" si="136"/>
        <v>-1199.4166666666679</v>
      </c>
      <c r="D226" s="175">
        <f t="shared" si="136"/>
        <v>-83.416666666666515</v>
      </c>
      <c r="E226" s="175">
        <f t="shared" si="136"/>
        <v>-1842</v>
      </c>
      <c r="F226" s="175">
        <f t="shared" si="136"/>
        <v>-305.75</v>
      </c>
      <c r="G226" s="175">
        <f t="shared" si="136"/>
        <v>-2633.75</v>
      </c>
      <c r="H226" s="175">
        <f t="shared" si="136"/>
        <v>107.08333333333394</v>
      </c>
      <c r="I226" s="175">
        <f t="shared" si="136"/>
        <v>-14039.916666666672</v>
      </c>
      <c r="J226" s="175"/>
      <c r="K226" s="175">
        <f t="shared" si="137"/>
        <v>-944.83333333333303</v>
      </c>
      <c r="L226" s="175">
        <f t="shared" si="137"/>
        <v>-947.33333333333348</v>
      </c>
      <c r="M226" s="175">
        <f t="shared" si="137"/>
        <v>-1653.4166666666661</v>
      </c>
      <c r="N226" s="21"/>
    </row>
    <row r="227" spans="1:34" x14ac:dyDescent="0.15">
      <c r="A227" s="174">
        <f t="shared" si="135"/>
        <v>43466</v>
      </c>
      <c r="B227" s="175">
        <f t="shared" si="136"/>
        <v>119.83333333333303</v>
      </c>
      <c r="C227" s="175">
        <f t="shared" si="136"/>
        <v>-3332.4166666666679</v>
      </c>
      <c r="D227" s="175">
        <f t="shared" si="136"/>
        <v>-252.41666666666652</v>
      </c>
      <c r="E227" s="175">
        <f t="shared" si="136"/>
        <v>-596</v>
      </c>
      <c r="F227" s="175">
        <f t="shared" si="136"/>
        <v>-93.75</v>
      </c>
      <c r="G227" s="175">
        <f t="shared" si="136"/>
        <v>-916.75</v>
      </c>
      <c r="H227" s="175">
        <f t="shared" si="136"/>
        <v>4584.0833333333339</v>
      </c>
      <c r="I227" s="175">
        <f t="shared" si="136"/>
        <v>-877.91666666667152</v>
      </c>
      <c r="J227" s="175"/>
      <c r="K227" s="175">
        <f t="shared" si="137"/>
        <v>-71.83333333333303</v>
      </c>
      <c r="L227" s="175">
        <f t="shared" si="137"/>
        <v>128.66666666666652</v>
      </c>
      <c r="M227" s="175">
        <f t="shared" si="137"/>
        <v>527.58333333333394</v>
      </c>
      <c r="N227" s="21"/>
    </row>
    <row r="228" spans="1:34" x14ac:dyDescent="0.15">
      <c r="A228" s="174">
        <f t="shared" si="135"/>
        <v>43497</v>
      </c>
      <c r="B228" s="175">
        <f t="shared" si="136"/>
        <v>-150.16666666666697</v>
      </c>
      <c r="C228" s="175">
        <f t="shared" si="136"/>
        <v>-541.41666666666788</v>
      </c>
      <c r="D228" s="175">
        <f t="shared" si="136"/>
        <v>-148.41666666666652</v>
      </c>
      <c r="E228" s="175">
        <f t="shared" si="136"/>
        <v>-1287</v>
      </c>
      <c r="F228" s="175">
        <f t="shared" si="136"/>
        <v>-188.75</v>
      </c>
      <c r="G228" s="175">
        <f t="shared" si="136"/>
        <v>-1688.75</v>
      </c>
      <c r="H228" s="175">
        <f t="shared" si="136"/>
        <v>2856.0833333333339</v>
      </c>
      <c r="I228" s="175">
        <f t="shared" si="136"/>
        <v>-9757.9166666666715</v>
      </c>
      <c r="J228" s="175"/>
      <c r="K228" s="175">
        <f t="shared" si="137"/>
        <v>-12.83333333333303</v>
      </c>
      <c r="L228" s="175">
        <f t="shared" si="137"/>
        <v>-186.33333333333348</v>
      </c>
      <c r="M228" s="175">
        <f t="shared" si="137"/>
        <v>-179.41666666666606</v>
      </c>
      <c r="N228" s="21"/>
    </row>
    <row r="229" spans="1:34" x14ac:dyDescent="0.15">
      <c r="A229" s="174">
        <f t="shared" si="135"/>
        <v>43525</v>
      </c>
      <c r="B229" s="175">
        <f t="shared" si="136"/>
        <v>1217.833333333333</v>
      </c>
      <c r="C229" s="175">
        <f t="shared" si="136"/>
        <v>3166.5833333333321</v>
      </c>
      <c r="D229" s="175">
        <f t="shared" si="136"/>
        <v>438.58333333333348</v>
      </c>
      <c r="E229" s="175">
        <f t="shared" si="136"/>
        <v>2271</v>
      </c>
      <c r="F229" s="175">
        <f t="shared" si="136"/>
        <v>-11.75</v>
      </c>
      <c r="G229" s="175">
        <f t="shared" si="136"/>
        <v>3622.25</v>
      </c>
      <c r="H229" s="175">
        <f t="shared" si="136"/>
        <v>-2803.9166666666661</v>
      </c>
      <c r="I229" s="175">
        <f t="shared" si="136"/>
        <v>-3201.9166666666715</v>
      </c>
      <c r="J229" s="175"/>
      <c r="K229" s="175">
        <f t="shared" si="137"/>
        <v>629.16666666666697</v>
      </c>
      <c r="L229" s="175">
        <f t="shared" si="137"/>
        <v>-95.333333333333485</v>
      </c>
      <c r="M229" s="175">
        <f t="shared" si="137"/>
        <v>1675.5833333333339</v>
      </c>
      <c r="N229" s="21"/>
    </row>
    <row r="230" spans="1:34" x14ac:dyDescent="0.15">
      <c r="A230" s="174">
        <f t="shared" si="135"/>
        <v>43556</v>
      </c>
      <c r="B230" s="175">
        <f t="shared" si="136"/>
        <v>448.83333333333303</v>
      </c>
      <c r="C230" s="175">
        <f t="shared" si="136"/>
        <v>5578.5833333333321</v>
      </c>
      <c r="D230" s="175">
        <f t="shared" si="136"/>
        <v>167.58333333333348</v>
      </c>
      <c r="E230" s="175">
        <f t="shared" si="136"/>
        <v>2782</v>
      </c>
      <c r="F230" s="175">
        <f t="shared" si="136"/>
        <v>566.25</v>
      </c>
      <c r="G230" s="175">
        <f t="shared" si="136"/>
        <v>3510.25</v>
      </c>
      <c r="H230" s="175">
        <f t="shared" si="136"/>
        <v>-4431.9166666666661</v>
      </c>
      <c r="I230" s="175">
        <f t="shared" si="136"/>
        <v>-3466.9166666666715</v>
      </c>
      <c r="J230" s="175"/>
      <c r="K230" s="175">
        <f t="shared" si="137"/>
        <v>512.16666666666697</v>
      </c>
      <c r="L230" s="175">
        <f t="shared" si="137"/>
        <v>-413.33333333333348</v>
      </c>
      <c r="M230" s="175">
        <f t="shared" si="137"/>
        <v>1958.5833333333339</v>
      </c>
      <c r="N230" s="21"/>
    </row>
    <row r="231" spans="1:34" x14ac:dyDescent="0.15">
      <c r="A231" s="174">
        <f t="shared" si="135"/>
        <v>43586</v>
      </c>
      <c r="B231" s="175">
        <f t="shared" si="136"/>
        <v>628.83333333333303</v>
      </c>
      <c r="C231" s="175">
        <f t="shared" si="136"/>
        <v>6355.5833333333321</v>
      </c>
      <c r="D231" s="175">
        <f t="shared" si="136"/>
        <v>141.58333333333348</v>
      </c>
      <c r="E231" s="175">
        <f t="shared" si="136"/>
        <v>1550</v>
      </c>
      <c r="F231" s="175">
        <f t="shared" si="136"/>
        <v>70.25</v>
      </c>
      <c r="G231" s="175">
        <f t="shared" si="136"/>
        <v>1517.25</v>
      </c>
      <c r="H231" s="175">
        <f t="shared" si="136"/>
        <v>-3681.9166666666661</v>
      </c>
      <c r="I231" s="175">
        <f t="shared" si="136"/>
        <v>270.08333333332848</v>
      </c>
      <c r="J231" s="175"/>
      <c r="K231" s="175">
        <f t="shared" si="137"/>
        <v>454.16666666666697</v>
      </c>
      <c r="L231" s="175">
        <f t="shared" si="137"/>
        <v>321.66666666666652</v>
      </c>
      <c r="M231" s="175">
        <f t="shared" si="137"/>
        <v>-176.41666666666606</v>
      </c>
      <c r="N231" s="21"/>
    </row>
    <row r="232" spans="1:34" x14ac:dyDescent="0.15">
      <c r="A232" s="174">
        <f t="shared" si="135"/>
        <v>43617</v>
      </c>
      <c r="B232" s="175">
        <f t="shared" si="136"/>
        <v>-717.16666666666697</v>
      </c>
      <c r="C232" s="175">
        <f t="shared" si="136"/>
        <v>2862.5833333333321</v>
      </c>
      <c r="D232" s="175">
        <f t="shared" si="136"/>
        <v>-53.416666666666515</v>
      </c>
      <c r="E232" s="175">
        <f t="shared" si="136"/>
        <v>-1230</v>
      </c>
      <c r="F232" s="175">
        <f t="shared" si="136"/>
        <v>-288.75</v>
      </c>
      <c r="G232" s="175">
        <f t="shared" si="136"/>
        <v>-1901.75</v>
      </c>
      <c r="H232" s="175">
        <f t="shared" si="136"/>
        <v>-4858.9166666666661</v>
      </c>
      <c r="I232" s="175">
        <f t="shared" si="136"/>
        <v>3420.0833333333285</v>
      </c>
      <c r="J232" s="175"/>
      <c r="K232" s="175">
        <f t="shared" si="137"/>
        <v>-492.83333333333303</v>
      </c>
      <c r="L232" s="175">
        <f t="shared" si="137"/>
        <v>167.66666666666652</v>
      </c>
      <c r="M232" s="175">
        <f t="shared" si="137"/>
        <v>-1800.4166666666661</v>
      </c>
      <c r="N232" s="21"/>
    </row>
    <row r="233" spans="1:34" x14ac:dyDescent="0.15">
      <c r="A233" s="174">
        <f t="shared" si="135"/>
        <v>43647</v>
      </c>
      <c r="B233" s="175">
        <f t="shared" si="136"/>
        <v>-1449.166666666667</v>
      </c>
      <c r="C233" s="175">
        <f t="shared" si="136"/>
        <v>1509.5833333333321</v>
      </c>
      <c r="D233" s="175">
        <f t="shared" si="136"/>
        <v>117.58333333333348</v>
      </c>
      <c r="E233" s="175">
        <f t="shared" si="136"/>
        <v>-744</v>
      </c>
      <c r="F233" s="175">
        <f t="shared" si="136"/>
        <v>-230.75</v>
      </c>
      <c r="G233" s="175">
        <f t="shared" si="136"/>
        <v>-1064.75</v>
      </c>
      <c r="H233" s="175">
        <f t="shared" si="136"/>
        <v>-3709.9166666666661</v>
      </c>
      <c r="I233" s="175">
        <f t="shared" si="136"/>
        <v>11624.083333333328</v>
      </c>
      <c r="J233" s="175"/>
      <c r="K233" s="175">
        <f t="shared" si="137"/>
        <v>-446.83333333333303</v>
      </c>
      <c r="L233" s="175">
        <f t="shared" si="137"/>
        <v>236.66666666666652</v>
      </c>
      <c r="M233" s="175">
        <f t="shared" si="137"/>
        <v>-1269.4166666666661</v>
      </c>
      <c r="N233" s="21"/>
    </row>
    <row r="234" spans="1:34" x14ac:dyDescent="0.15">
      <c r="A234" s="174">
        <f t="shared" si="135"/>
        <v>43678</v>
      </c>
      <c r="B234" s="175">
        <f t="shared" si="136"/>
        <v>-1779.166666666667</v>
      </c>
      <c r="C234" s="175">
        <f t="shared" si="136"/>
        <v>-9181.4166666666679</v>
      </c>
      <c r="D234" s="175">
        <f t="shared" si="136"/>
        <v>-358.41666666666652</v>
      </c>
      <c r="E234" s="175">
        <f t="shared" si="136"/>
        <v>-2089</v>
      </c>
      <c r="F234" s="175">
        <f t="shared" si="136"/>
        <v>-275.75</v>
      </c>
      <c r="G234" s="175">
        <f t="shared" si="136"/>
        <v>-843.75</v>
      </c>
      <c r="H234" s="175">
        <f t="shared" si="136"/>
        <v>11791.083333333334</v>
      </c>
      <c r="I234" s="175">
        <f t="shared" si="136"/>
        <v>22226.083333333328</v>
      </c>
      <c r="J234" s="175"/>
      <c r="K234" s="175">
        <f t="shared" si="137"/>
        <v>-490.83333333333303</v>
      </c>
      <c r="L234" s="175">
        <f t="shared" si="137"/>
        <v>200.66666666666652</v>
      </c>
      <c r="M234" s="175">
        <f t="shared" si="137"/>
        <v>-1446.4166666666661</v>
      </c>
    </row>
    <row r="235" spans="1:34" x14ac:dyDescent="0.15">
      <c r="A235" s="174">
        <f t="shared" si="135"/>
        <v>43709</v>
      </c>
      <c r="B235" s="175">
        <f t="shared" si="136"/>
        <v>-698.16666666666697</v>
      </c>
      <c r="C235" s="175">
        <f t="shared" si="136"/>
        <v>-7609.4166666666679</v>
      </c>
      <c r="D235" s="175">
        <f t="shared" si="136"/>
        <v>-120.41666666666652</v>
      </c>
      <c r="E235" s="175">
        <f t="shared" si="136"/>
        <v>-831</v>
      </c>
      <c r="F235" s="175">
        <f t="shared" si="136"/>
        <v>-178.75</v>
      </c>
      <c r="G235" s="175">
        <f t="shared" si="136"/>
        <v>-963.75</v>
      </c>
      <c r="H235" s="175">
        <f t="shared" si="136"/>
        <v>-865.91666666666606</v>
      </c>
      <c r="I235" s="175">
        <f t="shared" si="136"/>
        <v>11715.083333333328</v>
      </c>
      <c r="J235" s="175"/>
      <c r="K235" s="175">
        <f t="shared" si="137"/>
        <v>106.16666666666697</v>
      </c>
      <c r="L235" s="175">
        <f t="shared" si="137"/>
        <v>374.66666666666652</v>
      </c>
      <c r="M235" s="175">
        <f t="shared" si="137"/>
        <v>376.58333333333394</v>
      </c>
    </row>
    <row r="236" spans="1:34" x14ac:dyDescent="0.15">
      <c r="A236" s="126" t="s">
        <v>13</v>
      </c>
      <c r="B236" s="21">
        <f>SUM(B224:B235)</f>
        <v>-3.637978807091713E-12</v>
      </c>
      <c r="C236" s="21">
        <f t="shared" ref="C236:M236" si="138">SUM(C224:C235)</f>
        <v>-1.4551915228366852E-11</v>
      </c>
      <c r="D236" s="21">
        <f t="shared" si="138"/>
        <v>1.8189894035458565E-12</v>
      </c>
      <c r="E236" s="21">
        <f t="shared" si="138"/>
        <v>0</v>
      </c>
      <c r="F236" s="21">
        <f t="shared" si="138"/>
        <v>0</v>
      </c>
      <c r="G236" s="21">
        <f t="shared" si="138"/>
        <v>0</v>
      </c>
      <c r="H236" s="21">
        <f t="shared" si="138"/>
        <v>7.2759576141834259E-12</v>
      </c>
      <c r="I236" s="21">
        <f t="shared" si="138"/>
        <v>-5.8207660913467407E-11</v>
      </c>
      <c r="J236" s="21"/>
      <c r="K236" s="21">
        <f t="shared" si="138"/>
        <v>3.637978807091713E-12</v>
      </c>
      <c r="L236" s="21">
        <f t="shared" si="138"/>
        <v>-1.8189894035458565E-12</v>
      </c>
      <c r="M236" s="21">
        <f t="shared" si="138"/>
        <v>7.2759576141834259E-12</v>
      </c>
    </row>
    <row r="237" spans="1:34" x14ac:dyDescent="0.1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367" t="s">
        <v>9</v>
      </c>
      <c r="O237" s="368"/>
      <c r="P237" s="369"/>
      <c r="Q237" s="367" t="s">
        <v>52</v>
      </c>
      <c r="R237" s="368"/>
      <c r="S237" s="369"/>
      <c r="T237" s="367" t="s">
        <v>133</v>
      </c>
      <c r="U237" s="368"/>
      <c r="V237" s="369"/>
      <c r="W237" s="367" t="s">
        <v>10</v>
      </c>
      <c r="X237" s="368"/>
      <c r="Y237" s="369"/>
      <c r="Z237" s="367" t="s">
        <v>11</v>
      </c>
      <c r="AA237" s="368"/>
      <c r="AB237" s="369"/>
      <c r="AC237" s="367" t="s">
        <v>14</v>
      </c>
      <c r="AD237" s="368"/>
      <c r="AE237" s="369"/>
      <c r="AF237" s="367" t="s">
        <v>12</v>
      </c>
      <c r="AG237" s="368"/>
      <c r="AH237" s="369"/>
    </row>
    <row r="238" spans="1:34" x14ac:dyDescent="0.15">
      <c r="B238" s="361" t="s">
        <v>59</v>
      </c>
      <c r="C238" s="362"/>
      <c r="D238" s="362"/>
      <c r="E238" s="362"/>
      <c r="F238" s="362"/>
      <c r="G238" s="362"/>
      <c r="H238" s="362"/>
      <c r="I238" s="362"/>
      <c r="J238" s="362"/>
      <c r="K238" s="362"/>
      <c r="L238" s="362"/>
      <c r="M238" s="362"/>
      <c r="N238" s="125" t="s">
        <v>54</v>
      </c>
      <c r="O238" s="125" t="s">
        <v>55</v>
      </c>
      <c r="P238" s="125" t="s">
        <v>53</v>
      </c>
      <c r="Q238" s="125" t="s">
        <v>54</v>
      </c>
      <c r="R238" s="125" t="s">
        <v>55</v>
      </c>
      <c r="S238" s="125" t="s">
        <v>53</v>
      </c>
      <c r="T238" s="125" t="s">
        <v>54</v>
      </c>
      <c r="U238" s="125" t="s">
        <v>55</v>
      </c>
      <c r="V238" s="125" t="s">
        <v>53</v>
      </c>
      <c r="W238" s="125" t="s">
        <v>54</v>
      </c>
      <c r="X238" s="125" t="s">
        <v>55</v>
      </c>
      <c r="Y238" s="125" t="s">
        <v>53</v>
      </c>
      <c r="Z238" s="125" t="s">
        <v>54</v>
      </c>
      <c r="AA238" s="125" t="s">
        <v>55</v>
      </c>
      <c r="AB238" s="125" t="s">
        <v>53</v>
      </c>
      <c r="AC238" s="125" t="s">
        <v>54</v>
      </c>
      <c r="AD238" s="125" t="s">
        <v>55</v>
      </c>
      <c r="AE238" s="125" t="s">
        <v>53</v>
      </c>
      <c r="AF238" s="125" t="s">
        <v>54</v>
      </c>
      <c r="AG238" s="125" t="s">
        <v>55</v>
      </c>
      <c r="AH238" s="125" t="s">
        <v>53</v>
      </c>
    </row>
    <row r="239" spans="1:34" ht="28" x14ac:dyDescent="0.15">
      <c r="A239" s="176" t="s">
        <v>18</v>
      </c>
      <c r="B239" s="177" t="s">
        <v>5</v>
      </c>
      <c r="C239" s="177" t="s">
        <v>6</v>
      </c>
      <c r="D239" s="177" t="s">
        <v>7</v>
      </c>
      <c r="E239" s="177" t="s">
        <v>8</v>
      </c>
      <c r="F239" s="177" t="s">
        <v>9</v>
      </c>
      <c r="G239" s="177" t="s">
        <v>16</v>
      </c>
      <c r="H239" s="178" t="s">
        <v>133</v>
      </c>
      <c r="I239" s="177" t="s">
        <v>10</v>
      </c>
      <c r="J239" s="179" t="s">
        <v>19</v>
      </c>
      <c r="K239" s="177" t="s">
        <v>11</v>
      </c>
      <c r="L239" s="177" t="s">
        <v>14</v>
      </c>
      <c r="M239" s="177" t="s">
        <v>12</v>
      </c>
      <c r="N239" s="145"/>
      <c r="O239" s="145"/>
      <c r="P239" s="145"/>
      <c r="Q239" s="145">
        <v>74193</v>
      </c>
      <c r="R239" s="145">
        <v>735937</v>
      </c>
      <c r="S239" s="145">
        <v>41991</v>
      </c>
      <c r="T239" s="145">
        <v>53574</v>
      </c>
      <c r="U239" s="145">
        <v>979938</v>
      </c>
      <c r="V239" s="145">
        <v>17740</v>
      </c>
      <c r="W239" s="145">
        <v>257646</v>
      </c>
      <c r="X239" s="145">
        <v>2285747</v>
      </c>
      <c r="Y239" s="145">
        <v>187325</v>
      </c>
      <c r="Z239" s="145">
        <v>11242</v>
      </c>
      <c r="AA239" s="145">
        <v>117277</v>
      </c>
      <c r="AB239" s="145">
        <v>7857</v>
      </c>
      <c r="AC239" s="145">
        <v>43722</v>
      </c>
      <c r="AD239" s="145">
        <v>479754</v>
      </c>
      <c r="AE239" s="145">
        <v>24748</v>
      </c>
      <c r="AF239" s="145"/>
      <c r="AG239" s="145"/>
      <c r="AH239" s="145"/>
    </row>
    <row r="240" spans="1:34" x14ac:dyDescent="0.15">
      <c r="A240" s="174">
        <f>A224</f>
        <v>43374</v>
      </c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45"/>
      <c r="O240" s="145"/>
      <c r="P240" s="145"/>
      <c r="Q240" s="145">
        <v>78161</v>
      </c>
      <c r="R240" s="145">
        <v>757185</v>
      </c>
      <c r="S240" s="145">
        <v>44726</v>
      </c>
      <c r="T240" s="145">
        <v>64290</v>
      </c>
      <c r="U240" s="145">
        <v>1137682</v>
      </c>
      <c r="V240" s="145">
        <v>22482</v>
      </c>
      <c r="W240" s="145">
        <v>347349</v>
      </c>
      <c r="X240" s="145">
        <v>2710866</v>
      </c>
      <c r="Y240" s="145">
        <v>244569</v>
      </c>
      <c r="Z240" s="145">
        <v>16433</v>
      </c>
      <c r="AA240" s="145">
        <v>152974</v>
      </c>
      <c r="AB240" s="145">
        <v>11683</v>
      </c>
      <c r="AC240" s="145">
        <v>24190</v>
      </c>
      <c r="AD240" s="145">
        <v>168092</v>
      </c>
      <c r="AE240" s="145">
        <v>16844</v>
      </c>
      <c r="AF240" s="145"/>
      <c r="AG240" s="145"/>
      <c r="AH240" s="145"/>
    </row>
    <row r="241" spans="1:34" x14ac:dyDescent="0.15">
      <c r="A241" s="174">
        <f t="shared" ref="A241:A251" si="139">A225</f>
        <v>43405</v>
      </c>
      <c r="B241" s="175">
        <f t="shared" ref="B241:I251" si="140">B188-B187</f>
        <v>-1386</v>
      </c>
      <c r="C241" s="175">
        <f t="shared" si="140"/>
        <v>-860</v>
      </c>
      <c r="D241" s="175">
        <f t="shared" si="140"/>
        <v>-14</v>
      </c>
      <c r="E241" s="175">
        <f t="shared" si="140"/>
        <v>-54</v>
      </c>
      <c r="F241" s="175">
        <f t="shared" si="140"/>
        <v>-707</v>
      </c>
      <c r="G241" s="175">
        <f t="shared" si="140"/>
        <v>-1763</v>
      </c>
      <c r="H241" s="175">
        <f t="shared" si="140"/>
        <v>3618</v>
      </c>
      <c r="I241" s="175">
        <f t="shared" si="140"/>
        <v>341</v>
      </c>
      <c r="J241" s="175"/>
      <c r="K241" s="175">
        <f t="shared" ref="K241:M251" si="141">K188-K187</f>
        <v>-208</v>
      </c>
      <c r="L241" s="175">
        <f t="shared" si="141"/>
        <v>-607</v>
      </c>
      <c r="M241" s="175">
        <f t="shared" si="141"/>
        <v>14</v>
      </c>
      <c r="N241" s="145">
        <v>3563</v>
      </c>
      <c r="O241" s="145">
        <v>25293</v>
      </c>
      <c r="P241" s="145">
        <v>2011</v>
      </c>
      <c r="Q241" s="145">
        <v>53247</v>
      </c>
      <c r="R241" s="145">
        <v>377739</v>
      </c>
      <c r="S241" s="145">
        <v>34902</v>
      </c>
      <c r="T241" s="145">
        <v>74206</v>
      </c>
      <c r="U241" s="145">
        <v>1298537</v>
      </c>
      <c r="V241" s="145">
        <v>29103</v>
      </c>
      <c r="W241" s="145">
        <v>440891</v>
      </c>
      <c r="X241" s="145">
        <v>3202873</v>
      </c>
      <c r="Y241" s="145">
        <v>289997</v>
      </c>
      <c r="Z241" s="145">
        <v>19070</v>
      </c>
      <c r="AA241" s="145">
        <v>161490</v>
      </c>
      <c r="AB241" s="145">
        <v>13974</v>
      </c>
      <c r="AC241" s="145">
        <v>19878</v>
      </c>
      <c r="AD241" s="145">
        <v>111178</v>
      </c>
      <c r="AE241" s="145">
        <v>14634</v>
      </c>
      <c r="AF241" s="145">
        <v>155635</v>
      </c>
      <c r="AG241" s="145">
        <v>921255</v>
      </c>
      <c r="AH241" s="145">
        <v>123204</v>
      </c>
    </row>
    <row r="242" spans="1:34" x14ac:dyDescent="0.15">
      <c r="A242" s="174">
        <f t="shared" si="139"/>
        <v>43435</v>
      </c>
      <c r="B242" s="175">
        <f t="shared" si="140"/>
        <v>-1713</v>
      </c>
      <c r="C242" s="175">
        <f t="shared" si="140"/>
        <v>-1965</v>
      </c>
      <c r="D242" s="175">
        <f t="shared" si="140"/>
        <v>-152</v>
      </c>
      <c r="E242" s="175">
        <f t="shared" si="140"/>
        <v>-2823</v>
      </c>
      <c r="F242" s="175">
        <f t="shared" si="140"/>
        <v>-421</v>
      </c>
      <c r="G242" s="175">
        <f t="shared" si="140"/>
        <v>-2434</v>
      </c>
      <c r="H242" s="175">
        <f t="shared" si="140"/>
        <v>-2209</v>
      </c>
      <c r="I242" s="175">
        <f t="shared" si="140"/>
        <v>-5255</v>
      </c>
      <c r="J242" s="175"/>
      <c r="K242" s="175">
        <f t="shared" si="141"/>
        <v>-1220</v>
      </c>
      <c r="L242" s="175">
        <f t="shared" si="141"/>
        <v>-750</v>
      </c>
      <c r="M242" s="175">
        <f t="shared" si="141"/>
        <v>-2654</v>
      </c>
      <c r="N242" s="145">
        <v>5044</v>
      </c>
      <c r="O242" s="145">
        <v>37090</v>
      </c>
      <c r="P242" s="145">
        <v>3477</v>
      </c>
      <c r="Q242" s="145">
        <v>35281</v>
      </c>
      <c r="R242" s="145">
        <v>251786</v>
      </c>
      <c r="S242" s="145">
        <v>23036</v>
      </c>
      <c r="T242" s="145">
        <v>87176</v>
      </c>
      <c r="U242" s="145">
        <v>1513257</v>
      </c>
      <c r="V242" s="145">
        <v>37412</v>
      </c>
      <c r="W242" s="145">
        <v>435375</v>
      </c>
      <c r="X242" s="145">
        <v>2700947</v>
      </c>
      <c r="Y242" s="145">
        <v>287305</v>
      </c>
      <c r="Z242" s="145">
        <v>18437</v>
      </c>
      <c r="AA242" s="145">
        <v>152661</v>
      </c>
      <c r="AB242" s="145">
        <v>13475</v>
      </c>
      <c r="AC242" s="145">
        <v>19897</v>
      </c>
      <c r="AD242" s="145">
        <v>103047</v>
      </c>
      <c r="AE242" s="145">
        <v>14808</v>
      </c>
      <c r="AF242" s="145">
        <v>142290</v>
      </c>
      <c r="AG242" s="145">
        <v>801448</v>
      </c>
      <c r="AH242" s="145">
        <v>117837</v>
      </c>
    </row>
    <row r="243" spans="1:34" x14ac:dyDescent="0.15">
      <c r="A243" s="174">
        <f t="shared" si="139"/>
        <v>43466</v>
      </c>
      <c r="B243" s="175">
        <f t="shared" si="140"/>
        <v>931</v>
      </c>
      <c r="C243" s="175">
        <f t="shared" si="140"/>
        <v>-2133</v>
      </c>
      <c r="D243" s="175">
        <f t="shared" si="140"/>
        <v>-169</v>
      </c>
      <c r="E243" s="175">
        <f t="shared" si="140"/>
        <v>1246</v>
      </c>
      <c r="F243" s="175">
        <f t="shared" si="140"/>
        <v>212</v>
      </c>
      <c r="G243" s="175">
        <f t="shared" si="140"/>
        <v>1717</v>
      </c>
      <c r="H243" s="175">
        <f t="shared" si="140"/>
        <v>4477</v>
      </c>
      <c r="I243" s="175">
        <f t="shared" si="140"/>
        <v>13162</v>
      </c>
      <c r="J243" s="175"/>
      <c r="K243" s="175">
        <f t="shared" si="141"/>
        <v>873</v>
      </c>
      <c r="L243" s="175">
        <f t="shared" si="141"/>
        <v>1076</v>
      </c>
      <c r="M243" s="175">
        <f t="shared" si="141"/>
        <v>2181</v>
      </c>
      <c r="N243" s="145">
        <v>4566</v>
      </c>
      <c r="O243" s="145">
        <v>143683</v>
      </c>
      <c r="P243" s="145">
        <v>3092</v>
      </c>
      <c r="Q243" s="145">
        <v>94768</v>
      </c>
      <c r="R243" s="145">
        <v>915566</v>
      </c>
      <c r="S243" s="145">
        <v>64358</v>
      </c>
      <c r="T243" s="145">
        <v>230192</v>
      </c>
      <c r="U243" s="145">
        <v>3059401</v>
      </c>
      <c r="V243" s="145">
        <v>118902</v>
      </c>
      <c r="W243" s="145">
        <v>425601</v>
      </c>
      <c r="X243" s="145">
        <v>3745528</v>
      </c>
      <c r="Y243" s="145">
        <v>287337</v>
      </c>
      <c r="Z243" s="145">
        <v>11300</v>
      </c>
      <c r="AA243" s="145">
        <v>165812</v>
      </c>
      <c r="AB243" s="145">
        <v>8349</v>
      </c>
      <c r="AC243" s="145">
        <v>25614</v>
      </c>
      <c r="AD243" s="145">
        <v>205349</v>
      </c>
      <c r="AE243" s="145">
        <v>17425</v>
      </c>
      <c r="AF243" s="145">
        <v>119831</v>
      </c>
      <c r="AG243" s="145">
        <v>714477</v>
      </c>
      <c r="AH243" s="145">
        <v>100968</v>
      </c>
    </row>
    <row r="244" spans="1:34" x14ac:dyDescent="0.15">
      <c r="A244" s="174">
        <f t="shared" si="139"/>
        <v>43497</v>
      </c>
      <c r="B244" s="175">
        <f t="shared" si="140"/>
        <v>-270</v>
      </c>
      <c r="C244" s="175">
        <f t="shared" si="140"/>
        <v>2791</v>
      </c>
      <c r="D244" s="175">
        <f t="shared" si="140"/>
        <v>104</v>
      </c>
      <c r="E244" s="175">
        <f t="shared" si="140"/>
        <v>-691</v>
      </c>
      <c r="F244" s="175">
        <f t="shared" si="140"/>
        <v>-95</v>
      </c>
      <c r="G244" s="175">
        <f t="shared" si="140"/>
        <v>-772</v>
      </c>
      <c r="H244" s="175">
        <f t="shared" si="140"/>
        <v>-1728</v>
      </c>
      <c r="I244" s="175">
        <f t="shared" si="140"/>
        <v>-8880</v>
      </c>
      <c r="J244" s="175"/>
      <c r="K244" s="175">
        <f t="shared" si="141"/>
        <v>59</v>
      </c>
      <c r="L244" s="175">
        <f t="shared" si="141"/>
        <v>-315</v>
      </c>
      <c r="M244" s="175">
        <f t="shared" si="141"/>
        <v>-707</v>
      </c>
      <c r="N244" s="145">
        <v>6236</v>
      </c>
      <c r="O244" s="145">
        <v>50572</v>
      </c>
      <c r="P244" s="145">
        <v>4606</v>
      </c>
      <c r="Q244" s="145">
        <v>205451</v>
      </c>
      <c r="R244" s="145">
        <v>1386094</v>
      </c>
      <c r="S244" s="145">
        <v>164546</v>
      </c>
      <c r="T244" s="145">
        <v>652612</v>
      </c>
      <c r="U244" s="145">
        <v>7811167</v>
      </c>
      <c r="V244" s="145">
        <v>343312</v>
      </c>
      <c r="W244" s="145">
        <v>536704</v>
      </c>
      <c r="X244" s="145">
        <v>3727105</v>
      </c>
      <c r="Y244" s="145">
        <v>356268</v>
      </c>
      <c r="Z244" s="145">
        <v>18181</v>
      </c>
      <c r="AA244" s="145">
        <v>103414</v>
      </c>
      <c r="AB244" s="145">
        <v>14448</v>
      </c>
      <c r="AC244" s="145">
        <v>28056</v>
      </c>
      <c r="AD244" s="145">
        <v>221636</v>
      </c>
      <c r="AE244" s="145">
        <v>19278</v>
      </c>
      <c r="AF244" s="145">
        <v>127843</v>
      </c>
      <c r="AG244" s="145">
        <v>813099</v>
      </c>
      <c r="AH244" s="145">
        <v>107713</v>
      </c>
    </row>
    <row r="245" spans="1:34" x14ac:dyDescent="0.15">
      <c r="A245" s="174">
        <f t="shared" si="139"/>
        <v>43525</v>
      </c>
      <c r="B245" s="175">
        <f t="shared" si="140"/>
        <v>1368</v>
      </c>
      <c r="C245" s="175">
        <f t="shared" si="140"/>
        <v>3708</v>
      </c>
      <c r="D245" s="175">
        <f t="shared" si="140"/>
        <v>587</v>
      </c>
      <c r="E245" s="175">
        <f t="shared" si="140"/>
        <v>3558</v>
      </c>
      <c r="F245" s="175">
        <f t="shared" si="140"/>
        <v>177</v>
      </c>
      <c r="G245" s="175">
        <f t="shared" si="140"/>
        <v>5311</v>
      </c>
      <c r="H245" s="175">
        <f t="shared" si="140"/>
        <v>-5660</v>
      </c>
      <c r="I245" s="175">
        <f t="shared" si="140"/>
        <v>6556</v>
      </c>
      <c r="J245" s="175"/>
      <c r="K245" s="175">
        <f t="shared" si="141"/>
        <v>642</v>
      </c>
      <c r="L245" s="175">
        <f t="shared" si="141"/>
        <v>91</v>
      </c>
      <c r="M245" s="175">
        <f t="shared" si="141"/>
        <v>1855</v>
      </c>
      <c r="N245" s="145">
        <v>7576</v>
      </c>
      <c r="O245" s="145">
        <v>62644</v>
      </c>
      <c r="P245" s="145">
        <v>5560</v>
      </c>
      <c r="Q245" s="145">
        <v>127574</v>
      </c>
      <c r="R245" s="145">
        <v>958322</v>
      </c>
      <c r="S245" s="145">
        <v>89098</v>
      </c>
      <c r="T245" s="145">
        <v>605342</v>
      </c>
      <c r="U245" s="145">
        <v>7137162</v>
      </c>
      <c r="V245" s="145">
        <v>310180</v>
      </c>
      <c r="W245" s="145">
        <v>629406</v>
      </c>
      <c r="X245" s="145">
        <v>3935194</v>
      </c>
      <c r="Y245" s="145">
        <v>416514</v>
      </c>
      <c r="Z245" s="145">
        <v>17118</v>
      </c>
      <c r="AA245" s="145">
        <v>89676</v>
      </c>
      <c r="AB245" s="145">
        <v>13493</v>
      </c>
      <c r="AC245" s="145">
        <v>28531</v>
      </c>
      <c r="AD245" s="145">
        <v>206051</v>
      </c>
      <c r="AE245" s="145">
        <v>19950</v>
      </c>
      <c r="AF245" s="145">
        <v>106840</v>
      </c>
      <c r="AG245" s="145">
        <v>917822</v>
      </c>
      <c r="AH245" s="145">
        <v>87904</v>
      </c>
    </row>
    <row r="246" spans="1:34" x14ac:dyDescent="0.15">
      <c r="A246" s="174">
        <f t="shared" si="139"/>
        <v>43556</v>
      </c>
      <c r="B246" s="175">
        <f t="shared" si="140"/>
        <v>-769</v>
      </c>
      <c r="C246" s="175">
        <f t="shared" si="140"/>
        <v>2412</v>
      </c>
      <c r="D246" s="175">
        <f t="shared" si="140"/>
        <v>-271</v>
      </c>
      <c r="E246" s="175">
        <f t="shared" si="140"/>
        <v>511</v>
      </c>
      <c r="F246" s="175">
        <f t="shared" si="140"/>
        <v>578</v>
      </c>
      <c r="G246" s="175">
        <f t="shared" si="140"/>
        <v>-112</v>
      </c>
      <c r="H246" s="175">
        <f t="shared" si="140"/>
        <v>-1628</v>
      </c>
      <c r="I246" s="175">
        <f t="shared" si="140"/>
        <v>-265</v>
      </c>
      <c r="J246" s="175"/>
      <c r="K246" s="175">
        <f t="shared" si="141"/>
        <v>-117</v>
      </c>
      <c r="L246" s="175">
        <f t="shared" si="141"/>
        <v>-318</v>
      </c>
      <c r="M246" s="175">
        <f t="shared" si="141"/>
        <v>283</v>
      </c>
      <c r="N246" s="145">
        <v>8071</v>
      </c>
      <c r="O246" s="145">
        <v>70567</v>
      </c>
      <c r="P246" s="145">
        <v>5858</v>
      </c>
      <c r="Q246" s="145">
        <v>119538</v>
      </c>
      <c r="R246" s="145">
        <v>744359</v>
      </c>
      <c r="S246" s="145">
        <v>86934</v>
      </c>
      <c r="T246" s="145">
        <v>466031</v>
      </c>
      <c r="U246" s="145">
        <v>5830786</v>
      </c>
      <c r="V246" s="145">
        <v>244340</v>
      </c>
      <c r="W246" s="145">
        <v>645434</v>
      </c>
      <c r="X246" s="145">
        <v>3629180</v>
      </c>
      <c r="Y246" s="145">
        <v>446833</v>
      </c>
      <c r="Z246" s="145">
        <v>18982</v>
      </c>
      <c r="AA246" s="145">
        <v>113142</v>
      </c>
      <c r="AB246" s="145">
        <v>14175</v>
      </c>
      <c r="AC246" s="145">
        <v>29876</v>
      </c>
      <c r="AD246" s="145">
        <v>200215</v>
      </c>
      <c r="AE246" s="145">
        <v>21105</v>
      </c>
      <c r="AF246" s="145">
        <v>107864</v>
      </c>
      <c r="AG246" s="145">
        <v>895322</v>
      </c>
      <c r="AH246" s="145">
        <v>90311</v>
      </c>
    </row>
    <row r="247" spans="1:34" x14ac:dyDescent="0.15">
      <c r="A247" s="174">
        <f t="shared" si="139"/>
        <v>43586</v>
      </c>
      <c r="B247" s="175">
        <f t="shared" si="140"/>
        <v>180</v>
      </c>
      <c r="C247" s="175">
        <f t="shared" si="140"/>
        <v>777</v>
      </c>
      <c r="D247" s="175">
        <f t="shared" si="140"/>
        <v>-26</v>
      </c>
      <c r="E247" s="175">
        <f t="shared" si="140"/>
        <v>-1232</v>
      </c>
      <c r="F247" s="175">
        <f t="shared" si="140"/>
        <v>-496</v>
      </c>
      <c r="G247" s="175">
        <f t="shared" si="140"/>
        <v>-1993</v>
      </c>
      <c r="H247" s="175">
        <f t="shared" si="140"/>
        <v>750</v>
      </c>
      <c r="I247" s="175">
        <f t="shared" si="140"/>
        <v>3737</v>
      </c>
      <c r="J247" s="175"/>
      <c r="K247" s="175">
        <f t="shared" si="141"/>
        <v>-58</v>
      </c>
      <c r="L247" s="175">
        <f t="shared" si="141"/>
        <v>735</v>
      </c>
      <c r="M247" s="175">
        <f t="shared" si="141"/>
        <v>-2135</v>
      </c>
      <c r="N247" s="145">
        <v>10494</v>
      </c>
      <c r="O247" s="145">
        <v>102909</v>
      </c>
      <c r="P247" s="145">
        <v>7365</v>
      </c>
      <c r="Q247" s="145">
        <v>140454</v>
      </c>
      <c r="R247" s="145">
        <v>865811</v>
      </c>
      <c r="S247" s="145">
        <v>103590</v>
      </c>
      <c r="T247" s="145">
        <v>443373</v>
      </c>
      <c r="U247" s="145">
        <v>5429821</v>
      </c>
      <c r="V247" s="145">
        <v>232392</v>
      </c>
      <c r="W247" s="145">
        <v>729565</v>
      </c>
      <c r="X247" s="145">
        <v>4032173</v>
      </c>
      <c r="Y247" s="145">
        <v>505990</v>
      </c>
      <c r="Z247" s="145">
        <v>14071</v>
      </c>
      <c r="AA247" s="145">
        <v>97324</v>
      </c>
      <c r="AB247" s="145">
        <v>10766</v>
      </c>
      <c r="AC247" s="145">
        <v>37165</v>
      </c>
      <c r="AD247" s="145">
        <v>270832</v>
      </c>
      <c r="AE247" s="145">
        <v>23399</v>
      </c>
      <c r="AF247" s="145">
        <v>89576</v>
      </c>
      <c r="AG247" s="145">
        <v>938136</v>
      </c>
      <c r="AH247" s="145">
        <v>73954</v>
      </c>
    </row>
    <row r="248" spans="1:34" x14ac:dyDescent="0.15">
      <c r="A248" s="174">
        <f t="shared" si="139"/>
        <v>43617</v>
      </c>
      <c r="B248" s="175">
        <f t="shared" si="140"/>
        <v>-1346</v>
      </c>
      <c r="C248" s="175">
        <f t="shared" si="140"/>
        <v>-3493</v>
      </c>
      <c r="D248" s="175">
        <f t="shared" si="140"/>
        <v>-195</v>
      </c>
      <c r="E248" s="175">
        <f t="shared" si="140"/>
        <v>-2780</v>
      </c>
      <c r="F248" s="175">
        <f t="shared" si="140"/>
        <v>-359</v>
      </c>
      <c r="G248" s="175">
        <f t="shared" si="140"/>
        <v>-3419</v>
      </c>
      <c r="H248" s="175">
        <f t="shared" si="140"/>
        <v>-1177</v>
      </c>
      <c r="I248" s="175">
        <f t="shared" si="140"/>
        <v>3150</v>
      </c>
      <c r="J248" s="175"/>
      <c r="K248" s="175">
        <f t="shared" si="141"/>
        <v>-947</v>
      </c>
      <c r="L248" s="175">
        <f t="shared" si="141"/>
        <v>-154</v>
      </c>
      <c r="M248" s="175">
        <f t="shared" si="141"/>
        <v>-1624</v>
      </c>
      <c r="N248" s="145">
        <v>17347</v>
      </c>
      <c r="O248" s="145">
        <v>140576</v>
      </c>
      <c r="P248" s="145">
        <v>12048</v>
      </c>
      <c r="Q248" s="145">
        <v>189171</v>
      </c>
      <c r="R248" s="145">
        <v>1096949</v>
      </c>
      <c r="S248" s="145">
        <v>143345</v>
      </c>
      <c r="T248" s="145">
        <v>412847</v>
      </c>
      <c r="U248" s="145">
        <v>4971411</v>
      </c>
      <c r="V248" s="145">
        <v>220035</v>
      </c>
      <c r="W248" s="145">
        <v>766328</v>
      </c>
      <c r="X248" s="145">
        <v>3772779</v>
      </c>
      <c r="Y248" s="145">
        <v>524620</v>
      </c>
      <c r="Z248" s="145">
        <v>31846</v>
      </c>
      <c r="AA248" s="145">
        <v>275875</v>
      </c>
      <c r="AB248" s="145">
        <v>23530</v>
      </c>
      <c r="AC248" s="145">
        <v>36216</v>
      </c>
      <c r="AD248" s="145">
        <v>303768</v>
      </c>
      <c r="AE248" s="145">
        <v>25158</v>
      </c>
      <c r="AF248" s="145">
        <v>88746</v>
      </c>
      <c r="AG248" s="145">
        <v>893022</v>
      </c>
      <c r="AH248" s="145">
        <v>72917</v>
      </c>
    </row>
    <row r="249" spans="1:34" x14ac:dyDescent="0.15">
      <c r="A249" s="174">
        <f t="shared" si="139"/>
        <v>43647</v>
      </c>
      <c r="B249" s="175">
        <f t="shared" si="140"/>
        <v>-732</v>
      </c>
      <c r="C249" s="175">
        <f t="shared" si="140"/>
        <v>-1353</v>
      </c>
      <c r="D249" s="175">
        <f t="shared" si="140"/>
        <v>171</v>
      </c>
      <c r="E249" s="175">
        <f t="shared" si="140"/>
        <v>486</v>
      </c>
      <c r="F249" s="175">
        <f t="shared" si="140"/>
        <v>58</v>
      </c>
      <c r="G249" s="175">
        <f t="shared" si="140"/>
        <v>837</v>
      </c>
      <c r="H249" s="175">
        <f t="shared" si="140"/>
        <v>1149</v>
      </c>
      <c r="I249" s="175">
        <f t="shared" si="140"/>
        <v>8204</v>
      </c>
      <c r="J249" s="175"/>
      <c r="K249" s="175">
        <f t="shared" si="141"/>
        <v>46</v>
      </c>
      <c r="L249" s="175">
        <f t="shared" si="141"/>
        <v>69</v>
      </c>
      <c r="M249" s="175">
        <f t="shared" si="141"/>
        <v>531</v>
      </c>
      <c r="N249" s="186">
        <v>23160</v>
      </c>
      <c r="O249" s="186">
        <v>392057</v>
      </c>
      <c r="P249" s="186">
        <v>15823</v>
      </c>
      <c r="Q249" s="186">
        <v>195153</v>
      </c>
      <c r="R249" s="186">
        <v>1059513</v>
      </c>
      <c r="S249" s="186">
        <v>141014</v>
      </c>
      <c r="T249" s="186">
        <v>301594</v>
      </c>
      <c r="U249" s="186">
        <v>3294341</v>
      </c>
      <c r="V249" s="186">
        <v>169008</v>
      </c>
      <c r="W249" s="186">
        <v>857579</v>
      </c>
      <c r="X249" s="186">
        <v>4071275</v>
      </c>
      <c r="Y249" s="186">
        <v>572807</v>
      </c>
      <c r="Z249" s="186">
        <v>46518</v>
      </c>
      <c r="AA249" s="186">
        <v>454588</v>
      </c>
      <c r="AB249" s="186">
        <v>33545</v>
      </c>
      <c r="AC249" s="186">
        <v>39732</v>
      </c>
      <c r="AD249" s="186">
        <v>343100</v>
      </c>
      <c r="AE249" s="186">
        <v>27157</v>
      </c>
      <c r="AF249" s="186">
        <v>94980</v>
      </c>
      <c r="AG249" s="186">
        <v>923167</v>
      </c>
      <c r="AH249" s="186">
        <v>78103</v>
      </c>
    </row>
    <row r="250" spans="1:34" x14ac:dyDescent="0.15">
      <c r="A250" s="174">
        <f t="shared" si="139"/>
        <v>43678</v>
      </c>
      <c r="B250" s="175">
        <f t="shared" si="140"/>
        <v>-330</v>
      </c>
      <c r="C250" s="175">
        <f t="shared" si="140"/>
        <v>-10691</v>
      </c>
      <c r="D250" s="175">
        <f t="shared" si="140"/>
        <v>-476</v>
      </c>
      <c r="E250" s="175">
        <f t="shared" si="140"/>
        <v>-1345</v>
      </c>
      <c r="F250" s="175">
        <f t="shared" si="140"/>
        <v>-45</v>
      </c>
      <c r="G250" s="175">
        <f t="shared" si="140"/>
        <v>221</v>
      </c>
      <c r="H250" s="175">
        <f t="shared" si="140"/>
        <v>15501</v>
      </c>
      <c r="I250" s="175">
        <f t="shared" si="140"/>
        <v>10602</v>
      </c>
      <c r="J250" s="175"/>
      <c r="K250" s="175">
        <f t="shared" si="141"/>
        <v>-44</v>
      </c>
      <c r="L250" s="175">
        <f t="shared" si="141"/>
        <v>-36</v>
      </c>
      <c r="M250" s="175">
        <f t="shared" si="141"/>
        <v>-177</v>
      </c>
      <c r="N250" s="145">
        <v>24485</v>
      </c>
      <c r="O250" s="145">
        <v>529075</v>
      </c>
      <c r="P250" s="145">
        <v>16568</v>
      </c>
      <c r="Q250" s="145">
        <v>209718</v>
      </c>
      <c r="R250" s="145">
        <v>1158426</v>
      </c>
      <c r="S250" s="145">
        <v>153371</v>
      </c>
      <c r="T250" s="145">
        <v>217721</v>
      </c>
      <c r="U250" s="145">
        <v>3095213</v>
      </c>
      <c r="V250" s="145">
        <v>136357</v>
      </c>
      <c r="W250" s="145">
        <v>798789</v>
      </c>
      <c r="X250" s="145">
        <v>3813884</v>
      </c>
      <c r="Y250" s="145">
        <v>541879</v>
      </c>
      <c r="Z250" s="145">
        <v>46775</v>
      </c>
      <c r="AA250" s="145">
        <v>637712</v>
      </c>
      <c r="AB250" s="145">
        <v>34391</v>
      </c>
      <c r="AC250" s="145">
        <v>40086</v>
      </c>
      <c r="AD250" s="145">
        <v>1354393</v>
      </c>
      <c r="AE250" s="145">
        <v>27758</v>
      </c>
      <c r="AF250" s="145">
        <v>103800</v>
      </c>
      <c r="AG250" s="145">
        <v>1788088</v>
      </c>
      <c r="AH250" s="145">
        <v>83337</v>
      </c>
    </row>
    <row r="251" spans="1:34" x14ac:dyDescent="0.15">
      <c r="A251" s="174">
        <f t="shared" si="139"/>
        <v>43709</v>
      </c>
      <c r="B251" s="175">
        <f t="shared" si="140"/>
        <v>1081</v>
      </c>
      <c r="C251" s="175">
        <f t="shared" si="140"/>
        <v>1572</v>
      </c>
      <c r="D251" s="175">
        <f t="shared" si="140"/>
        <v>238</v>
      </c>
      <c r="E251" s="175">
        <f t="shared" si="140"/>
        <v>1258</v>
      </c>
      <c r="F251" s="175">
        <f t="shared" si="140"/>
        <v>97</v>
      </c>
      <c r="G251" s="175">
        <f t="shared" si="140"/>
        <v>-120</v>
      </c>
      <c r="H251" s="175">
        <f t="shared" si="140"/>
        <v>-12657</v>
      </c>
      <c r="I251" s="175">
        <f t="shared" si="140"/>
        <v>-10511</v>
      </c>
      <c r="J251" s="175"/>
      <c r="K251" s="175">
        <f t="shared" si="141"/>
        <v>597</v>
      </c>
      <c r="L251" s="175">
        <f t="shared" si="141"/>
        <v>174</v>
      </c>
      <c r="M251" s="175">
        <f t="shared" si="141"/>
        <v>1823</v>
      </c>
      <c r="N251" s="190">
        <v>18921</v>
      </c>
      <c r="O251" s="190">
        <v>382124</v>
      </c>
      <c r="P251" s="190">
        <v>13275</v>
      </c>
      <c r="Q251" s="190">
        <v>213537</v>
      </c>
      <c r="R251" s="190">
        <v>2033553</v>
      </c>
      <c r="S251" s="190">
        <v>158733</v>
      </c>
      <c r="T251" s="190">
        <v>145511</v>
      </c>
      <c r="U251" s="190">
        <v>1377240</v>
      </c>
      <c r="V251" s="190">
        <v>107736</v>
      </c>
      <c r="W251" s="190">
        <v>986483</v>
      </c>
      <c r="X251" s="190">
        <v>4642807</v>
      </c>
      <c r="Y251" s="190">
        <v>668488</v>
      </c>
      <c r="Z251" s="190">
        <v>50038</v>
      </c>
      <c r="AA251" s="190">
        <v>583216</v>
      </c>
      <c r="AB251" s="190">
        <v>37411</v>
      </c>
      <c r="AC251" s="190">
        <v>47740</v>
      </c>
      <c r="AD251" s="190">
        <v>1204490</v>
      </c>
      <c r="AE251" s="190">
        <v>32997</v>
      </c>
      <c r="AF251" s="190">
        <v>116957</v>
      </c>
      <c r="AG251" s="190">
        <v>1895297</v>
      </c>
      <c r="AH251" s="190">
        <v>89647</v>
      </c>
    </row>
    <row r="252" spans="1:34" x14ac:dyDescent="0.15">
      <c r="A252" s="35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151">
        <f t="shared" ref="C252:AH270" si="142">SUM(N239:N251)</f>
        <v>129463</v>
      </c>
      <c r="O252" s="151">
        <f t="shared" si="142"/>
        <v>1936590</v>
      </c>
      <c r="P252" s="151">
        <f t="shared" si="142"/>
        <v>89683</v>
      </c>
      <c r="Q252" s="151">
        <f t="shared" si="142"/>
        <v>1736246</v>
      </c>
      <c r="R252" s="151">
        <f t="shared" si="142"/>
        <v>12341240</v>
      </c>
      <c r="S252" s="151">
        <f t="shared" si="142"/>
        <v>1249644</v>
      </c>
      <c r="T252" s="151">
        <f t="shared" si="142"/>
        <v>3754469</v>
      </c>
      <c r="U252" s="151">
        <f t="shared" si="142"/>
        <v>46935956</v>
      </c>
      <c r="V252" s="151">
        <f t="shared" si="142"/>
        <v>1988999</v>
      </c>
      <c r="W252" s="151">
        <f t="shared" si="142"/>
        <v>7857150</v>
      </c>
      <c r="X252" s="151">
        <f t="shared" si="142"/>
        <v>46270358</v>
      </c>
      <c r="Y252" s="151">
        <f t="shared" si="142"/>
        <v>5329932</v>
      </c>
      <c r="Z252" s="151">
        <f t="shared" si="142"/>
        <v>320011</v>
      </c>
      <c r="AA252" s="151">
        <f t="shared" si="142"/>
        <v>3105161</v>
      </c>
      <c r="AB252" s="151">
        <f t="shared" si="142"/>
        <v>237097</v>
      </c>
      <c r="AC252" s="151">
        <f t="shared" si="142"/>
        <v>420703</v>
      </c>
      <c r="AD252" s="151">
        <f t="shared" si="142"/>
        <v>5171905</v>
      </c>
      <c r="AE252" s="151">
        <f t="shared" si="142"/>
        <v>285261</v>
      </c>
      <c r="AF252" s="151">
        <f t="shared" si="142"/>
        <v>1254362</v>
      </c>
      <c r="AG252" s="151">
        <f t="shared" si="142"/>
        <v>11501133</v>
      </c>
      <c r="AH252" s="151">
        <f t="shared" si="142"/>
        <v>1025895</v>
      </c>
    </row>
    <row r="253" spans="1:34" x14ac:dyDescent="0.15">
      <c r="A253" s="35"/>
    </row>
    <row r="254" spans="1:34" x14ac:dyDescent="0.15">
      <c r="A254" s="34" t="s">
        <v>178</v>
      </c>
    </row>
    <row r="255" spans="1:34" x14ac:dyDescent="0.15">
      <c r="A255" s="27"/>
      <c r="B255" s="367" t="s">
        <v>5</v>
      </c>
      <c r="C255" s="368"/>
      <c r="D255" s="369"/>
      <c r="E255" s="367" t="s">
        <v>6</v>
      </c>
      <c r="F255" s="368"/>
      <c r="G255" s="369"/>
      <c r="H255" s="367" t="s">
        <v>7</v>
      </c>
      <c r="I255" s="368"/>
      <c r="J255" s="369"/>
      <c r="K255" s="367" t="s">
        <v>51</v>
      </c>
      <c r="L255" s="368"/>
      <c r="M255" s="369"/>
    </row>
    <row r="256" spans="1:34" x14ac:dyDescent="0.15">
      <c r="A256" s="127" t="s">
        <v>62</v>
      </c>
      <c r="B256" s="125" t="s">
        <v>54</v>
      </c>
      <c r="C256" s="125" t="s">
        <v>55</v>
      </c>
      <c r="D256" s="125" t="s">
        <v>53</v>
      </c>
      <c r="E256" s="125" t="s">
        <v>54</v>
      </c>
      <c r="F256" s="125" t="s">
        <v>55</v>
      </c>
      <c r="G256" s="125" t="s">
        <v>53</v>
      </c>
      <c r="H256" s="125" t="s">
        <v>54</v>
      </c>
      <c r="I256" s="125" t="s">
        <v>55</v>
      </c>
      <c r="J256" s="125" t="s">
        <v>53</v>
      </c>
      <c r="K256" s="125" t="s">
        <v>54</v>
      </c>
      <c r="L256" s="125" t="s">
        <v>55</v>
      </c>
      <c r="M256" s="125" t="s">
        <v>53</v>
      </c>
    </row>
    <row r="257" spans="1:13" x14ac:dyDescent="0.15">
      <c r="A257" s="256" t="s">
        <v>61</v>
      </c>
      <c r="B257" s="145">
        <v>125817</v>
      </c>
      <c r="C257" s="145">
        <v>1394032</v>
      </c>
      <c r="D257" s="145">
        <v>84470</v>
      </c>
      <c r="E257" s="145"/>
      <c r="F257" s="145"/>
      <c r="G257" s="145"/>
      <c r="H257" s="145"/>
      <c r="I257" s="145"/>
      <c r="J257" s="145"/>
      <c r="K257" s="145">
        <v>141171</v>
      </c>
      <c r="L257" s="145">
        <v>1607037</v>
      </c>
      <c r="M257" s="145">
        <v>78948</v>
      </c>
    </row>
    <row r="258" spans="1:13" x14ac:dyDescent="0.15">
      <c r="A258" s="256" t="s">
        <v>39</v>
      </c>
      <c r="B258" s="145">
        <v>145765</v>
      </c>
      <c r="C258" s="145">
        <v>1613397</v>
      </c>
      <c r="D258" s="145">
        <v>96327</v>
      </c>
      <c r="E258" s="145">
        <v>7745</v>
      </c>
      <c r="F258" s="145">
        <v>86406</v>
      </c>
      <c r="G258" s="145">
        <v>4014</v>
      </c>
      <c r="H258" s="145"/>
      <c r="I258" s="145"/>
      <c r="J258" s="145"/>
      <c r="K258" s="145">
        <v>143781</v>
      </c>
      <c r="L258" s="145">
        <v>1636681</v>
      </c>
      <c r="M258" s="145">
        <v>82771</v>
      </c>
    </row>
    <row r="259" spans="1:13" x14ac:dyDescent="0.15">
      <c r="A259" s="256" t="s">
        <v>40</v>
      </c>
      <c r="B259" s="145">
        <v>160681</v>
      </c>
      <c r="C259" s="145">
        <v>1799677</v>
      </c>
      <c r="D259" s="145">
        <v>109905</v>
      </c>
      <c r="E259" s="145">
        <v>6366</v>
      </c>
      <c r="F259" s="145">
        <v>86010</v>
      </c>
      <c r="G259" s="145">
        <v>2548</v>
      </c>
      <c r="H259" s="145">
        <v>1195</v>
      </c>
      <c r="I259" s="145">
        <v>7220</v>
      </c>
      <c r="J259" s="145">
        <v>979</v>
      </c>
      <c r="K259" s="145">
        <v>144585</v>
      </c>
      <c r="L259" s="145">
        <v>3472493</v>
      </c>
      <c r="M259" s="145">
        <v>80801</v>
      </c>
    </row>
    <row r="260" spans="1:13" x14ac:dyDescent="0.15">
      <c r="A260" s="256" t="s">
        <v>41</v>
      </c>
      <c r="B260" s="145">
        <v>191478</v>
      </c>
      <c r="C260" s="145">
        <v>2205316</v>
      </c>
      <c r="D260" s="145">
        <v>129351</v>
      </c>
      <c r="E260" s="145">
        <v>16270</v>
      </c>
      <c r="F260" s="145">
        <v>184821</v>
      </c>
      <c r="G260" s="145">
        <v>8779</v>
      </c>
      <c r="H260" s="145">
        <v>2241</v>
      </c>
      <c r="I260" s="145">
        <v>13695</v>
      </c>
      <c r="J260" s="145">
        <v>1935</v>
      </c>
      <c r="K260" s="145">
        <v>155369</v>
      </c>
      <c r="L260" s="145">
        <v>5690078</v>
      </c>
      <c r="M260" s="145">
        <v>81529</v>
      </c>
    </row>
    <row r="261" spans="1:13" x14ac:dyDescent="0.15">
      <c r="A261" s="256" t="s">
        <v>42</v>
      </c>
      <c r="B261" s="145">
        <v>199316</v>
      </c>
      <c r="C261" s="145">
        <v>2420483</v>
      </c>
      <c r="D261" s="145">
        <v>139685</v>
      </c>
      <c r="E261" s="145">
        <v>13772</v>
      </c>
      <c r="F261" s="145">
        <v>177994</v>
      </c>
      <c r="G261" s="145">
        <v>5236</v>
      </c>
      <c r="H261" s="145">
        <v>2504</v>
      </c>
      <c r="I261" s="145">
        <v>57720</v>
      </c>
      <c r="J261" s="145">
        <v>2093</v>
      </c>
      <c r="K261" s="145">
        <v>191134</v>
      </c>
      <c r="L261" s="145">
        <v>7011266</v>
      </c>
      <c r="M261" s="145">
        <v>108531</v>
      </c>
    </row>
    <row r="262" spans="1:13" x14ac:dyDescent="0.15">
      <c r="A262" s="256" t="s">
        <v>43</v>
      </c>
      <c r="B262" s="145">
        <v>165200</v>
      </c>
      <c r="C262" s="145">
        <v>1743569</v>
      </c>
      <c r="D262" s="145">
        <v>106536</v>
      </c>
      <c r="E262" s="145">
        <v>13439</v>
      </c>
      <c r="F262" s="145">
        <v>124754</v>
      </c>
      <c r="G262" s="145">
        <v>7258</v>
      </c>
      <c r="H262" s="145">
        <v>5628</v>
      </c>
      <c r="I262" s="145">
        <v>108135</v>
      </c>
      <c r="J262" s="145">
        <v>4486</v>
      </c>
      <c r="K262" s="145">
        <v>214570</v>
      </c>
      <c r="L262" s="145">
        <v>7631590</v>
      </c>
      <c r="M262" s="145">
        <v>120292</v>
      </c>
    </row>
    <row r="263" spans="1:13" x14ac:dyDescent="0.15">
      <c r="A263" s="256" t="s">
        <v>44</v>
      </c>
      <c r="B263" s="145">
        <v>159750</v>
      </c>
      <c r="C263" s="145">
        <v>1808786</v>
      </c>
      <c r="D263" s="145">
        <v>100981</v>
      </c>
      <c r="E263" s="145">
        <v>13782</v>
      </c>
      <c r="F263" s="145">
        <v>122536</v>
      </c>
      <c r="G263" s="145">
        <v>8039</v>
      </c>
      <c r="H263" s="145">
        <v>8326</v>
      </c>
      <c r="I263" s="145">
        <v>347006</v>
      </c>
      <c r="J263" s="145">
        <v>5414</v>
      </c>
      <c r="K263" s="145">
        <v>225553</v>
      </c>
      <c r="L263" s="145">
        <v>9735100</v>
      </c>
      <c r="M263" s="145">
        <v>125907</v>
      </c>
    </row>
    <row r="264" spans="1:13" x14ac:dyDescent="0.15">
      <c r="A264" s="256" t="s">
        <v>45</v>
      </c>
      <c r="B264" s="145">
        <v>47436</v>
      </c>
      <c r="C264" s="145">
        <v>483566</v>
      </c>
      <c r="D264" s="145">
        <v>31305</v>
      </c>
      <c r="E264" s="145">
        <v>20584</v>
      </c>
      <c r="F264" s="145">
        <v>142425</v>
      </c>
      <c r="G264" s="145">
        <v>13983</v>
      </c>
      <c r="H264" s="145">
        <v>6975</v>
      </c>
      <c r="I264" s="145">
        <v>122957</v>
      </c>
      <c r="J264" s="145">
        <v>4896</v>
      </c>
      <c r="K264" s="145">
        <v>217305</v>
      </c>
      <c r="L264" s="145">
        <v>10234228</v>
      </c>
      <c r="M264" s="145">
        <v>120646</v>
      </c>
    </row>
    <row r="265" spans="1:13" x14ac:dyDescent="0.15">
      <c r="A265" s="256" t="s">
        <v>47</v>
      </c>
      <c r="B265" s="145">
        <v>52864</v>
      </c>
      <c r="C265" s="145">
        <v>501339</v>
      </c>
      <c r="D265" s="145">
        <v>35782</v>
      </c>
      <c r="E265" s="145">
        <v>30739</v>
      </c>
      <c r="F265" s="145">
        <v>203901</v>
      </c>
      <c r="G265" s="145">
        <v>20779</v>
      </c>
      <c r="H265" s="145">
        <v>8284</v>
      </c>
      <c r="I265" s="145">
        <v>53139</v>
      </c>
      <c r="J265" s="145">
        <v>6574</v>
      </c>
      <c r="K265" s="145">
        <v>246689</v>
      </c>
      <c r="L265" s="145">
        <v>6004302</v>
      </c>
      <c r="M265" s="145">
        <v>141377</v>
      </c>
    </row>
    <row r="266" spans="1:13" x14ac:dyDescent="0.15">
      <c r="A266" s="256" t="s">
        <v>79</v>
      </c>
      <c r="B266" s="145">
        <v>55046</v>
      </c>
      <c r="C266" s="145">
        <v>542003</v>
      </c>
      <c r="D266" s="145">
        <v>38903</v>
      </c>
      <c r="E266" s="145">
        <v>65720</v>
      </c>
      <c r="F266" s="145">
        <v>295582</v>
      </c>
      <c r="G266" s="145">
        <v>41371</v>
      </c>
      <c r="H266" s="145">
        <v>10869</v>
      </c>
      <c r="I266" s="145">
        <v>64554</v>
      </c>
      <c r="J266" s="145">
        <v>8640</v>
      </c>
      <c r="K266" s="145">
        <v>206088</v>
      </c>
      <c r="L266" s="145">
        <v>2180301</v>
      </c>
      <c r="M266" s="145">
        <v>128457</v>
      </c>
    </row>
    <row r="267" spans="1:13" x14ac:dyDescent="0.15">
      <c r="A267" s="257" t="s">
        <v>99</v>
      </c>
      <c r="B267" s="186">
        <v>58238</v>
      </c>
      <c r="C267" s="186">
        <v>551711</v>
      </c>
      <c r="D267" s="186">
        <v>40974</v>
      </c>
      <c r="E267" s="186">
        <v>108364</v>
      </c>
      <c r="F267" s="186">
        <v>388556</v>
      </c>
      <c r="G267" s="186">
        <v>70696</v>
      </c>
      <c r="H267" s="186">
        <v>14866</v>
      </c>
      <c r="I267" s="186">
        <v>96028</v>
      </c>
      <c r="J267" s="186">
        <v>11549</v>
      </c>
      <c r="K267" s="186">
        <v>190206</v>
      </c>
      <c r="L267" s="186">
        <v>1902393</v>
      </c>
      <c r="M267" s="186">
        <v>118779</v>
      </c>
    </row>
    <row r="268" spans="1:13" x14ac:dyDescent="0.15">
      <c r="A268" s="256" t="s">
        <v>107</v>
      </c>
      <c r="B268" s="145">
        <v>67042</v>
      </c>
      <c r="C268" s="145">
        <v>818083</v>
      </c>
      <c r="D268" s="145">
        <v>49138</v>
      </c>
      <c r="E268" s="145">
        <v>161646</v>
      </c>
      <c r="F268" s="145">
        <v>551398</v>
      </c>
      <c r="G268" s="145">
        <v>106949</v>
      </c>
      <c r="H268" s="145">
        <v>25193</v>
      </c>
      <c r="I268" s="145">
        <v>276196</v>
      </c>
      <c r="J268" s="145">
        <v>19688</v>
      </c>
      <c r="K268" s="145">
        <v>150117</v>
      </c>
      <c r="L268" s="145">
        <v>2584212</v>
      </c>
      <c r="M268" s="145">
        <v>93299</v>
      </c>
    </row>
    <row r="269" spans="1:13" x14ac:dyDescent="0.15">
      <c r="A269" s="265" t="s">
        <v>149</v>
      </c>
      <c r="B269" s="190">
        <v>65954</v>
      </c>
      <c r="C269" s="190">
        <v>881990</v>
      </c>
      <c r="D269" s="190">
        <v>51239</v>
      </c>
      <c r="E269" s="190">
        <v>197225</v>
      </c>
      <c r="F269" s="190">
        <v>1074442</v>
      </c>
      <c r="G269" s="190">
        <v>130464</v>
      </c>
      <c r="H269" s="190">
        <v>26813</v>
      </c>
      <c r="I269" s="190">
        <v>288632</v>
      </c>
      <c r="J269" s="190">
        <v>21205</v>
      </c>
      <c r="K269" s="190">
        <v>160944</v>
      </c>
      <c r="L269" s="190">
        <v>2185900</v>
      </c>
      <c r="M269" s="190">
        <v>104518</v>
      </c>
    </row>
    <row r="270" spans="1:13" x14ac:dyDescent="0.15">
      <c r="A270" s="168" t="s">
        <v>56</v>
      </c>
      <c r="B270" s="151">
        <f>SUM(B257:B269)</f>
        <v>1494587</v>
      </c>
      <c r="C270" s="151">
        <f t="shared" si="142"/>
        <v>16763952</v>
      </c>
      <c r="D270" s="151">
        <f t="shared" si="142"/>
        <v>1014596</v>
      </c>
      <c r="E270" s="151">
        <f t="shared" si="142"/>
        <v>655652</v>
      </c>
      <c r="F270" s="151">
        <f t="shared" si="142"/>
        <v>3438825</v>
      </c>
      <c r="G270" s="151">
        <f t="shared" si="142"/>
        <v>420116</v>
      </c>
      <c r="H270" s="151">
        <f t="shared" si="142"/>
        <v>112894</v>
      </c>
      <c r="I270" s="151">
        <f t="shared" si="142"/>
        <v>1435282</v>
      </c>
      <c r="J270" s="151">
        <f t="shared" si="142"/>
        <v>87459</v>
      </c>
      <c r="K270" s="151">
        <f t="shared" si="142"/>
        <v>2387512</v>
      </c>
      <c r="L270" s="151">
        <f t="shared" si="142"/>
        <v>61875581</v>
      </c>
      <c r="M270" s="151">
        <f t="shared" si="142"/>
        <v>1385855</v>
      </c>
    </row>
    <row r="271" spans="1:13" x14ac:dyDescent="0.15">
      <c r="B271" s="35" t="s">
        <v>119</v>
      </c>
    </row>
    <row r="274" spans="1:34" x14ac:dyDescent="0.15">
      <c r="A274" s="34" t="s">
        <v>179</v>
      </c>
    </row>
    <row r="275" spans="1:34" x14ac:dyDescent="0.15">
      <c r="A275" s="27"/>
      <c r="B275" s="367" t="s">
        <v>5</v>
      </c>
      <c r="C275" s="368"/>
      <c r="D275" s="369"/>
      <c r="E275" s="367" t="s">
        <v>6</v>
      </c>
      <c r="F275" s="368"/>
      <c r="G275" s="369"/>
      <c r="H275" s="367" t="s">
        <v>7</v>
      </c>
      <c r="I275" s="368"/>
      <c r="J275" s="369"/>
      <c r="K275" s="367" t="s">
        <v>51</v>
      </c>
      <c r="L275" s="368"/>
      <c r="M275" s="369"/>
      <c r="N275" s="367" t="s">
        <v>9</v>
      </c>
      <c r="O275" s="368"/>
      <c r="P275" s="369"/>
      <c r="Q275" s="367" t="s">
        <v>52</v>
      </c>
      <c r="R275" s="368"/>
      <c r="S275" s="369"/>
      <c r="T275" s="367" t="s">
        <v>133</v>
      </c>
      <c r="U275" s="368"/>
      <c r="V275" s="369"/>
      <c r="W275" s="367" t="s">
        <v>10</v>
      </c>
      <c r="X275" s="368"/>
      <c r="Y275" s="369"/>
      <c r="Z275" s="367" t="s">
        <v>11</v>
      </c>
      <c r="AA275" s="368"/>
      <c r="AB275" s="369"/>
      <c r="AC275" s="367" t="s">
        <v>14</v>
      </c>
      <c r="AD275" s="368"/>
      <c r="AE275" s="369"/>
      <c r="AF275" s="367" t="s">
        <v>12</v>
      </c>
      <c r="AG275" s="368"/>
      <c r="AH275" s="369"/>
    </row>
    <row r="276" spans="1:34" x14ac:dyDescent="0.15">
      <c r="A276" s="127" t="s">
        <v>62</v>
      </c>
      <c r="B276" s="125" t="s">
        <v>54</v>
      </c>
      <c r="C276" s="125" t="s">
        <v>55</v>
      </c>
      <c r="D276" s="125" t="s">
        <v>53</v>
      </c>
      <c r="E276" s="125" t="s">
        <v>54</v>
      </c>
      <c r="F276" s="125" t="s">
        <v>55</v>
      </c>
      <c r="G276" s="125" t="s">
        <v>53</v>
      </c>
      <c r="H276" s="125" t="s">
        <v>54</v>
      </c>
      <c r="I276" s="125" t="s">
        <v>55</v>
      </c>
      <c r="J276" s="125" t="s">
        <v>53</v>
      </c>
      <c r="K276" s="125" t="s">
        <v>54</v>
      </c>
      <c r="L276" s="125" t="s">
        <v>55</v>
      </c>
      <c r="M276" s="125" t="s">
        <v>53</v>
      </c>
      <c r="N276" s="125" t="s">
        <v>54</v>
      </c>
      <c r="O276" s="125" t="s">
        <v>55</v>
      </c>
      <c r="P276" s="125" t="s">
        <v>53</v>
      </c>
      <c r="Q276" s="125" t="s">
        <v>54</v>
      </c>
      <c r="R276" s="125" t="s">
        <v>55</v>
      </c>
      <c r="S276" s="125" t="s">
        <v>53</v>
      </c>
      <c r="T276" s="125" t="s">
        <v>54</v>
      </c>
      <c r="U276" s="125" t="s">
        <v>55</v>
      </c>
      <c r="V276" s="125" t="s">
        <v>53</v>
      </c>
      <c r="W276" s="125" t="s">
        <v>54</v>
      </c>
      <c r="X276" s="125" t="s">
        <v>55</v>
      </c>
      <c r="Y276" s="125" t="s">
        <v>53</v>
      </c>
      <c r="Z276" s="125" t="s">
        <v>54</v>
      </c>
      <c r="AA276" s="125" t="s">
        <v>55</v>
      </c>
      <c r="AB276" s="125" t="s">
        <v>53</v>
      </c>
      <c r="AC276" s="125" t="s">
        <v>54</v>
      </c>
      <c r="AD276" s="125" t="s">
        <v>55</v>
      </c>
      <c r="AE276" s="125" t="s">
        <v>53</v>
      </c>
      <c r="AF276" s="125" t="s">
        <v>54</v>
      </c>
      <c r="AG276" s="125" t="s">
        <v>55</v>
      </c>
      <c r="AH276" s="125" t="s">
        <v>53</v>
      </c>
    </row>
    <row r="277" spans="1:34" x14ac:dyDescent="0.15">
      <c r="A277" s="256" t="s">
        <v>61</v>
      </c>
      <c r="B277" s="145">
        <v>125817</v>
      </c>
      <c r="C277" s="145">
        <v>1394032</v>
      </c>
      <c r="D277" s="145">
        <v>84470</v>
      </c>
      <c r="E277" s="145"/>
      <c r="F277" s="145"/>
      <c r="G277" s="145"/>
      <c r="H277" s="145"/>
      <c r="I277" s="145"/>
      <c r="J277" s="145"/>
      <c r="K277" s="145">
        <v>141171</v>
      </c>
      <c r="L277" s="145">
        <v>1607037</v>
      </c>
      <c r="M277" s="145">
        <v>78948</v>
      </c>
      <c r="N277" s="145"/>
      <c r="O277" s="145"/>
      <c r="P277" s="145"/>
      <c r="Q277" s="145">
        <v>74193</v>
      </c>
      <c r="R277" s="145">
        <v>735937</v>
      </c>
      <c r="S277" s="145">
        <v>41991</v>
      </c>
      <c r="T277" s="145">
        <v>53574</v>
      </c>
      <c r="U277" s="145">
        <v>979938</v>
      </c>
      <c r="V277" s="145">
        <v>17740</v>
      </c>
      <c r="W277" s="145">
        <v>257646</v>
      </c>
      <c r="X277" s="145">
        <v>2285747</v>
      </c>
      <c r="Y277" s="145">
        <v>187325</v>
      </c>
      <c r="Z277" s="145">
        <v>11242</v>
      </c>
      <c r="AA277" s="145">
        <v>117277</v>
      </c>
      <c r="AB277" s="145">
        <v>7857</v>
      </c>
      <c r="AC277" s="145">
        <v>43722</v>
      </c>
      <c r="AD277" s="145">
        <v>479754</v>
      </c>
      <c r="AE277" s="145">
        <v>24748</v>
      </c>
      <c r="AF277" s="145"/>
      <c r="AG277" s="145"/>
      <c r="AH277" s="145"/>
    </row>
    <row r="278" spans="1:34" x14ac:dyDescent="0.15">
      <c r="A278" s="256" t="s">
        <v>39</v>
      </c>
      <c r="B278" s="145">
        <v>145765</v>
      </c>
      <c r="C278" s="145">
        <v>1613397</v>
      </c>
      <c r="D278" s="145">
        <v>96327</v>
      </c>
      <c r="E278" s="145">
        <v>7745</v>
      </c>
      <c r="F278" s="145">
        <v>86406</v>
      </c>
      <c r="G278" s="145">
        <v>4014</v>
      </c>
      <c r="H278" s="145"/>
      <c r="I278" s="145"/>
      <c r="J278" s="145"/>
      <c r="K278" s="145">
        <v>143781</v>
      </c>
      <c r="L278" s="145">
        <v>1636681</v>
      </c>
      <c r="M278" s="145">
        <v>82771</v>
      </c>
      <c r="N278" s="145"/>
      <c r="O278" s="145"/>
      <c r="P278" s="145"/>
      <c r="Q278" s="145">
        <v>78161</v>
      </c>
      <c r="R278" s="145">
        <v>757185</v>
      </c>
      <c r="S278" s="145">
        <v>44726</v>
      </c>
      <c r="T278" s="145">
        <v>64290</v>
      </c>
      <c r="U278" s="145">
        <v>1137682</v>
      </c>
      <c r="V278" s="145">
        <v>22482</v>
      </c>
      <c r="W278" s="145">
        <v>347349</v>
      </c>
      <c r="X278" s="145">
        <v>2710866</v>
      </c>
      <c r="Y278" s="145">
        <v>244569</v>
      </c>
      <c r="Z278" s="145">
        <v>16433</v>
      </c>
      <c r="AA278" s="145">
        <v>152974</v>
      </c>
      <c r="AB278" s="145">
        <v>11683</v>
      </c>
      <c r="AC278" s="145">
        <v>24190</v>
      </c>
      <c r="AD278" s="145">
        <v>168092</v>
      </c>
      <c r="AE278" s="145">
        <v>16844</v>
      </c>
      <c r="AF278" s="145"/>
      <c r="AG278" s="145"/>
      <c r="AH278" s="145"/>
    </row>
    <row r="279" spans="1:34" x14ac:dyDescent="0.15">
      <c r="A279" s="256" t="s">
        <v>40</v>
      </c>
      <c r="B279" s="145">
        <v>160681</v>
      </c>
      <c r="C279" s="145">
        <v>1799677</v>
      </c>
      <c r="D279" s="145">
        <v>109905</v>
      </c>
      <c r="E279" s="145">
        <v>6366</v>
      </c>
      <c r="F279" s="145">
        <v>86010</v>
      </c>
      <c r="G279" s="145">
        <v>2548</v>
      </c>
      <c r="H279" s="145">
        <v>1195</v>
      </c>
      <c r="I279" s="145">
        <v>7220</v>
      </c>
      <c r="J279" s="145">
        <v>979</v>
      </c>
      <c r="K279" s="145">
        <v>144585</v>
      </c>
      <c r="L279" s="145">
        <v>3472493</v>
      </c>
      <c r="M279" s="145">
        <v>80801</v>
      </c>
      <c r="N279" s="145">
        <v>3563</v>
      </c>
      <c r="O279" s="145">
        <v>25293</v>
      </c>
      <c r="P279" s="145">
        <v>2011</v>
      </c>
      <c r="Q279" s="145">
        <v>53247</v>
      </c>
      <c r="R279" s="145">
        <v>377739</v>
      </c>
      <c r="S279" s="145">
        <v>34902</v>
      </c>
      <c r="T279" s="145">
        <v>74206</v>
      </c>
      <c r="U279" s="145">
        <v>1298537</v>
      </c>
      <c r="V279" s="145">
        <v>29103</v>
      </c>
      <c r="W279" s="145">
        <v>440891</v>
      </c>
      <c r="X279" s="145">
        <v>3202873</v>
      </c>
      <c r="Y279" s="145">
        <v>289997</v>
      </c>
      <c r="Z279" s="145">
        <v>19070</v>
      </c>
      <c r="AA279" s="145">
        <v>161490</v>
      </c>
      <c r="AB279" s="145">
        <v>13974</v>
      </c>
      <c r="AC279" s="145">
        <v>19878</v>
      </c>
      <c r="AD279" s="145">
        <v>111178</v>
      </c>
      <c r="AE279" s="145">
        <v>14634</v>
      </c>
      <c r="AF279" s="145">
        <v>155635</v>
      </c>
      <c r="AG279" s="145">
        <v>921255</v>
      </c>
      <c r="AH279" s="145">
        <v>123204</v>
      </c>
    </row>
    <row r="280" spans="1:34" x14ac:dyDescent="0.15">
      <c r="A280" s="256" t="s">
        <v>41</v>
      </c>
      <c r="B280" s="145">
        <v>191478</v>
      </c>
      <c r="C280" s="145">
        <v>2205316</v>
      </c>
      <c r="D280" s="145">
        <v>129351</v>
      </c>
      <c r="E280" s="145">
        <v>16270</v>
      </c>
      <c r="F280" s="145">
        <v>184821</v>
      </c>
      <c r="G280" s="145">
        <v>8779</v>
      </c>
      <c r="H280" s="145">
        <v>2241</v>
      </c>
      <c r="I280" s="145">
        <v>13695</v>
      </c>
      <c r="J280" s="145">
        <v>1935</v>
      </c>
      <c r="K280" s="145">
        <v>155369</v>
      </c>
      <c r="L280" s="145">
        <v>5690078</v>
      </c>
      <c r="M280" s="145">
        <v>81529</v>
      </c>
      <c r="N280" s="145">
        <v>5044</v>
      </c>
      <c r="O280" s="145">
        <v>37090</v>
      </c>
      <c r="P280" s="145">
        <v>3477</v>
      </c>
      <c r="Q280" s="145">
        <v>35281</v>
      </c>
      <c r="R280" s="145">
        <v>251786</v>
      </c>
      <c r="S280" s="145">
        <v>23036</v>
      </c>
      <c r="T280" s="145">
        <v>87176</v>
      </c>
      <c r="U280" s="145">
        <v>1513257</v>
      </c>
      <c r="V280" s="145">
        <v>37412</v>
      </c>
      <c r="W280" s="145">
        <v>435375</v>
      </c>
      <c r="X280" s="145">
        <v>2700947</v>
      </c>
      <c r="Y280" s="145">
        <v>287305</v>
      </c>
      <c r="Z280" s="145">
        <v>18437</v>
      </c>
      <c r="AA280" s="145">
        <v>152661</v>
      </c>
      <c r="AB280" s="145">
        <v>13475</v>
      </c>
      <c r="AC280" s="145">
        <v>19897</v>
      </c>
      <c r="AD280" s="145">
        <v>103047</v>
      </c>
      <c r="AE280" s="145">
        <v>14808</v>
      </c>
      <c r="AF280" s="145">
        <v>142290</v>
      </c>
      <c r="AG280" s="145">
        <v>801448</v>
      </c>
      <c r="AH280" s="145">
        <v>117837</v>
      </c>
    </row>
    <row r="281" spans="1:34" x14ac:dyDescent="0.15">
      <c r="A281" s="256" t="s">
        <v>42</v>
      </c>
      <c r="B281" s="145">
        <v>199316</v>
      </c>
      <c r="C281" s="145">
        <v>2420483</v>
      </c>
      <c r="D281" s="145">
        <v>139685</v>
      </c>
      <c r="E281" s="145">
        <v>13772</v>
      </c>
      <c r="F281" s="145">
        <v>177994</v>
      </c>
      <c r="G281" s="145">
        <v>5236</v>
      </c>
      <c r="H281" s="145">
        <v>2504</v>
      </c>
      <c r="I281" s="145">
        <v>57720</v>
      </c>
      <c r="J281" s="145">
        <v>2093</v>
      </c>
      <c r="K281" s="145">
        <v>191134</v>
      </c>
      <c r="L281" s="145">
        <v>7011266</v>
      </c>
      <c r="M281" s="145">
        <v>108531</v>
      </c>
      <c r="N281" s="145">
        <v>4566</v>
      </c>
      <c r="O281" s="145">
        <v>143683</v>
      </c>
      <c r="P281" s="145">
        <v>3092</v>
      </c>
      <c r="Q281" s="145">
        <v>94768</v>
      </c>
      <c r="R281" s="145">
        <v>915566</v>
      </c>
      <c r="S281" s="145">
        <v>64358</v>
      </c>
      <c r="T281" s="145">
        <v>230192</v>
      </c>
      <c r="U281" s="145">
        <v>3059401</v>
      </c>
      <c r="V281" s="145">
        <v>118902</v>
      </c>
      <c r="W281" s="145">
        <v>425601</v>
      </c>
      <c r="X281" s="145">
        <v>3745528</v>
      </c>
      <c r="Y281" s="145">
        <v>287337</v>
      </c>
      <c r="Z281" s="145">
        <v>11300</v>
      </c>
      <c r="AA281" s="145">
        <v>165812</v>
      </c>
      <c r="AB281" s="145">
        <v>8349</v>
      </c>
      <c r="AC281" s="145">
        <v>25614</v>
      </c>
      <c r="AD281" s="145">
        <v>205349</v>
      </c>
      <c r="AE281" s="145">
        <v>17425</v>
      </c>
      <c r="AF281" s="145">
        <v>119831</v>
      </c>
      <c r="AG281" s="145">
        <v>714477</v>
      </c>
      <c r="AH281" s="145">
        <v>100968</v>
      </c>
    </row>
    <row r="282" spans="1:34" x14ac:dyDescent="0.15">
      <c r="A282" s="256" t="s">
        <v>43</v>
      </c>
      <c r="B282" s="145">
        <v>165200</v>
      </c>
      <c r="C282" s="145">
        <v>1743569</v>
      </c>
      <c r="D282" s="145">
        <v>106536</v>
      </c>
      <c r="E282" s="145">
        <v>13439</v>
      </c>
      <c r="F282" s="145">
        <v>124754</v>
      </c>
      <c r="G282" s="145">
        <v>7258</v>
      </c>
      <c r="H282" s="145">
        <v>5628</v>
      </c>
      <c r="I282" s="145">
        <v>108135</v>
      </c>
      <c r="J282" s="145">
        <v>4486</v>
      </c>
      <c r="K282" s="145">
        <v>214570</v>
      </c>
      <c r="L282" s="145">
        <v>7631590</v>
      </c>
      <c r="M282" s="145">
        <v>120292</v>
      </c>
      <c r="N282" s="145">
        <v>6236</v>
      </c>
      <c r="O282" s="145">
        <v>50572</v>
      </c>
      <c r="P282" s="145">
        <v>4606</v>
      </c>
      <c r="Q282" s="145">
        <v>205451</v>
      </c>
      <c r="R282" s="145">
        <v>1386094</v>
      </c>
      <c r="S282" s="145">
        <v>164546</v>
      </c>
      <c r="T282" s="145">
        <v>652612</v>
      </c>
      <c r="U282" s="145">
        <v>7811167</v>
      </c>
      <c r="V282" s="145">
        <v>343312</v>
      </c>
      <c r="W282" s="145">
        <v>536704</v>
      </c>
      <c r="X282" s="145">
        <v>3727105</v>
      </c>
      <c r="Y282" s="145">
        <v>356268</v>
      </c>
      <c r="Z282" s="145">
        <v>18181</v>
      </c>
      <c r="AA282" s="145">
        <v>103414</v>
      </c>
      <c r="AB282" s="145">
        <v>14448</v>
      </c>
      <c r="AC282" s="145">
        <v>28056</v>
      </c>
      <c r="AD282" s="145">
        <v>221636</v>
      </c>
      <c r="AE282" s="145">
        <v>19278</v>
      </c>
      <c r="AF282" s="145">
        <v>127843</v>
      </c>
      <c r="AG282" s="145">
        <v>813099</v>
      </c>
      <c r="AH282" s="145">
        <v>107713</v>
      </c>
    </row>
    <row r="283" spans="1:34" x14ac:dyDescent="0.15">
      <c r="A283" s="256" t="s">
        <v>44</v>
      </c>
      <c r="B283" s="145">
        <v>159750</v>
      </c>
      <c r="C283" s="145">
        <v>1808786</v>
      </c>
      <c r="D283" s="145">
        <v>100981</v>
      </c>
      <c r="E283" s="145">
        <v>13782</v>
      </c>
      <c r="F283" s="145">
        <v>122536</v>
      </c>
      <c r="G283" s="145">
        <v>8039</v>
      </c>
      <c r="H283" s="145">
        <v>8326</v>
      </c>
      <c r="I283" s="145">
        <v>347006</v>
      </c>
      <c r="J283" s="145">
        <v>5414</v>
      </c>
      <c r="K283" s="145">
        <v>225553</v>
      </c>
      <c r="L283" s="145">
        <v>9735100</v>
      </c>
      <c r="M283" s="145">
        <v>125907</v>
      </c>
      <c r="N283" s="145">
        <v>7576</v>
      </c>
      <c r="O283" s="145">
        <v>62644</v>
      </c>
      <c r="P283" s="145">
        <v>5560</v>
      </c>
      <c r="Q283" s="145">
        <v>127574</v>
      </c>
      <c r="R283" s="145">
        <v>958322</v>
      </c>
      <c r="S283" s="145">
        <v>89098</v>
      </c>
      <c r="T283" s="145">
        <v>605342</v>
      </c>
      <c r="U283" s="145">
        <v>7137162</v>
      </c>
      <c r="V283" s="145">
        <v>310180</v>
      </c>
      <c r="W283" s="145">
        <v>629406</v>
      </c>
      <c r="X283" s="145">
        <v>3935194</v>
      </c>
      <c r="Y283" s="145">
        <v>416514</v>
      </c>
      <c r="Z283" s="145">
        <v>17118</v>
      </c>
      <c r="AA283" s="145">
        <v>89676</v>
      </c>
      <c r="AB283" s="145">
        <v>13493</v>
      </c>
      <c r="AC283" s="145">
        <v>28531</v>
      </c>
      <c r="AD283" s="145">
        <v>206051</v>
      </c>
      <c r="AE283" s="145">
        <v>19950</v>
      </c>
      <c r="AF283" s="145">
        <v>106840</v>
      </c>
      <c r="AG283" s="145">
        <v>917822</v>
      </c>
      <c r="AH283" s="145">
        <v>87904</v>
      </c>
    </row>
    <row r="284" spans="1:34" x14ac:dyDescent="0.15">
      <c r="A284" s="256" t="s">
        <v>45</v>
      </c>
      <c r="B284" s="145">
        <v>47436</v>
      </c>
      <c r="C284" s="145">
        <v>483566</v>
      </c>
      <c r="D284" s="145">
        <v>31305</v>
      </c>
      <c r="E284" s="145">
        <v>20584</v>
      </c>
      <c r="F284" s="145">
        <v>142425</v>
      </c>
      <c r="G284" s="145">
        <v>13983</v>
      </c>
      <c r="H284" s="145">
        <v>6975</v>
      </c>
      <c r="I284" s="145">
        <v>122957</v>
      </c>
      <c r="J284" s="145">
        <v>4896</v>
      </c>
      <c r="K284" s="145">
        <v>217305</v>
      </c>
      <c r="L284" s="145">
        <v>10234228</v>
      </c>
      <c r="M284" s="145">
        <v>120646</v>
      </c>
      <c r="N284" s="145">
        <v>8071</v>
      </c>
      <c r="O284" s="145">
        <v>70567</v>
      </c>
      <c r="P284" s="145">
        <v>5858</v>
      </c>
      <c r="Q284" s="145">
        <v>119538</v>
      </c>
      <c r="R284" s="145">
        <v>744359</v>
      </c>
      <c r="S284" s="145">
        <v>86934</v>
      </c>
      <c r="T284" s="145">
        <v>466031</v>
      </c>
      <c r="U284" s="145">
        <v>5830786</v>
      </c>
      <c r="V284" s="145">
        <v>244340</v>
      </c>
      <c r="W284" s="145">
        <v>645434</v>
      </c>
      <c r="X284" s="145">
        <v>3629180</v>
      </c>
      <c r="Y284" s="145">
        <v>446833</v>
      </c>
      <c r="Z284" s="145">
        <v>18982</v>
      </c>
      <c r="AA284" s="145">
        <v>113142</v>
      </c>
      <c r="AB284" s="145">
        <v>14175</v>
      </c>
      <c r="AC284" s="145">
        <v>29876</v>
      </c>
      <c r="AD284" s="145">
        <v>200215</v>
      </c>
      <c r="AE284" s="145">
        <v>21105</v>
      </c>
      <c r="AF284" s="145">
        <v>107864</v>
      </c>
      <c r="AG284" s="145">
        <v>895322</v>
      </c>
      <c r="AH284" s="145">
        <v>90311</v>
      </c>
    </row>
    <row r="285" spans="1:34" x14ac:dyDescent="0.15">
      <c r="A285" s="256" t="s">
        <v>47</v>
      </c>
      <c r="B285" s="145">
        <v>52864</v>
      </c>
      <c r="C285" s="145">
        <v>501339</v>
      </c>
      <c r="D285" s="145">
        <v>35782</v>
      </c>
      <c r="E285" s="145">
        <v>30739</v>
      </c>
      <c r="F285" s="145">
        <v>203901</v>
      </c>
      <c r="G285" s="145">
        <v>20779</v>
      </c>
      <c r="H285" s="145">
        <v>8284</v>
      </c>
      <c r="I285" s="145">
        <v>53139</v>
      </c>
      <c r="J285" s="145">
        <v>6574</v>
      </c>
      <c r="K285" s="145">
        <v>246689</v>
      </c>
      <c r="L285" s="145">
        <v>6004302</v>
      </c>
      <c r="M285" s="145">
        <v>141377</v>
      </c>
      <c r="N285" s="145">
        <v>10494</v>
      </c>
      <c r="O285" s="145">
        <v>102909</v>
      </c>
      <c r="P285" s="145">
        <v>7365</v>
      </c>
      <c r="Q285" s="145">
        <v>140454</v>
      </c>
      <c r="R285" s="145">
        <v>865811</v>
      </c>
      <c r="S285" s="145">
        <v>103590</v>
      </c>
      <c r="T285" s="145">
        <v>443373</v>
      </c>
      <c r="U285" s="145">
        <v>5429821</v>
      </c>
      <c r="V285" s="145">
        <v>232392</v>
      </c>
      <c r="W285" s="145">
        <v>729565</v>
      </c>
      <c r="X285" s="145">
        <v>4032173</v>
      </c>
      <c r="Y285" s="145">
        <v>505990</v>
      </c>
      <c r="Z285" s="145">
        <v>14071</v>
      </c>
      <c r="AA285" s="145">
        <v>97324</v>
      </c>
      <c r="AB285" s="145">
        <v>10766</v>
      </c>
      <c r="AC285" s="145">
        <v>37165</v>
      </c>
      <c r="AD285" s="145">
        <v>270832</v>
      </c>
      <c r="AE285" s="145">
        <v>23399</v>
      </c>
      <c r="AF285" s="145">
        <v>89576</v>
      </c>
      <c r="AG285" s="145">
        <v>938136</v>
      </c>
      <c r="AH285" s="145">
        <v>73954</v>
      </c>
    </row>
    <row r="286" spans="1:34" x14ac:dyDescent="0.15">
      <c r="A286" s="256" t="s">
        <v>79</v>
      </c>
      <c r="B286" s="145">
        <v>55046</v>
      </c>
      <c r="C286" s="145">
        <v>542003</v>
      </c>
      <c r="D286" s="145">
        <v>38903</v>
      </c>
      <c r="E286" s="145">
        <v>65720</v>
      </c>
      <c r="F286" s="145">
        <v>295582</v>
      </c>
      <c r="G286" s="145">
        <v>41371</v>
      </c>
      <c r="H286" s="145">
        <v>10869</v>
      </c>
      <c r="I286" s="145">
        <v>64554</v>
      </c>
      <c r="J286" s="145">
        <v>8640</v>
      </c>
      <c r="K286" s="145">
        <v>206088</v>
      </c>
      <c r="L286" s="145">
        <v>2180301</v>
      </c>
      <c r="M286" s="145">
        <v>128457</v>
      </c>
      <c r="N286" s="145">
        <v>17347</v>
      </c>
      <c r="O286" s="145">
        <v>140576</v>
      </c>
      <c r="P286" s="145">
        <v>12048</v>
      </c>
      <c r="Q286" s="145">
        <v>189171</v>
      </c>
      <c r="R286" s="145">
        <v>1096949</v>
      </c>
      <c r="S286" s="145">
        <v>143345</v>
      </c>
      <c r="T286" s="145">
        <v>412847</v>
      </c>
      <c r="U286" s="145">
        <v>4971411</v>
      </c>
      <c r="V286" s="145">
        <v>220035</v>
      </c>
      <c r="W286" s="145">
        <v>766328</v>
      </c>
      <c r="X286" s="145">
        <v>3772779</v>
      </c>
      <c r="Y286" s="145">
        <v>524620</v>
      </c>
      <c r="Z286" s="145">
        <v>31846</v>
      </c>
      <c r="AA286" s="145">
        <v>275875</v>
      </c>
      <c r="AB286" s="145">
        <v>23530</v>
      </c>
      <c r="AC286" s="145">
        <v>36216</v>
      </c>
      <c r="AD286" s="145">
        <v>303768</v>
      </c>
      <c r="AE286" s="145">
        <v>25158</v>
      </c>
      <c r="AF286" s="145">
        <v>88746</v>
      </c>
      <c r="AG286" s="145">
        <v>893022</v>
      </c>
      <c r="AH286" s="145">
        <v>72917</v>
      </c>
    </row>
    <row r="287" spans="1:34" x14ac:dyDescent="0.15">
      <c r="A287" s="257" t="s">
        <v>99</v>
      </c>
      <c r="B287" s="186">
        <v>58238</v>
      </c>
      <c r="C287" s="186">
        <v>551711</v>
      </c>
      <c r="D287" s="186">
        <v>40974</v>
      </c>
      <c r="E287" s="186">
        <v>108364</v>
      </c>
      <c r="F287" s="186">
        <v>388556</v>
      </c>
      <c r="G287" s="186">
        <v>70696</v>
      </c>
      <c r="H287" s="186">
        <v>14866</v>
      </c>
      <c r="I287" s="186">
        <v>96028</v>
      </c>
      <c r="J287" s="186">
        <v>11549</v>
      </c>
      <c r="K287" s="186">
        <v>190206</v>
      </c>
      <c r="L287" s="186">
        <v>1902393</v>
      </c>
      <c r="M287" s="186">
        <v>118779</v>
      </c>
      <c r="N287" s="186">
        <v>23160</v>
      </c>
      <c r="O287" s="186">
        <v>392057</v>
      </c>
      <c r="P287" s="186">
        <v>15823</v>
      </c>
      <c r="Q287" s="186">
        <v>195153</v>
      </c>
      <c r="R287" s="186">
        <v>1059513</v>
      </c>
      <c r="S287" s="186">
        <v>141014</v>
      </c>
      <c r="T287" s="186">
        <v>301594</v>
      </c>
      <c r="U287" s="186">
        <v>3294341</v>
      </c>
      <c r="V287" s="186">
        <v>169008</v>
      </c>
      <c r="W287" s="186">
        <v>857579</v>
      </c>
      <c r="X287" s="186">
        <v>4071275</v>
      </c>
      <c r="Y287" s="186">
        <v>572807</v>
      </c>
      <c r="Z287" s="186">
        <v>46518</v>
      </c>
      <c r="AA287" s="186">
        <v>454588</v>
      </c>
      <c r="AB287" s="186">
        <v>33545</v>
      </c>
      <c r="AC287" s="186">
        <v>39732</v>
      </c>
      <c r="AD287" s="186">
        <v>343100</v>
      </c>
      <c r="AE287" s="186">
        <v>27157</v>
      </c>
      <c r="AF287" s="186">
        <v>94980</v>
      </c>
      <c r="AG287" s="186">
        <v>923167</v>
      </c>
      <c r="AH287" s="186">
        <v>78103</v>
      </c>
    </row>
    <row r="288" spans="1:34" x14ac:dyDescent="0.15">
      <c r="A288" s="256" t="s">
        <v>107</v>
      </c>
      <c r="B288" s="145">
        <v>67042</v>
      </c>
      <c r="C288" s="145">
        <v>818083</v>
      </c>
      <c r="D288" s="145">
        <v>49138</v>
      </c>
      <c r="E288" s="145">
        <v>161646</v>
      </c>
      <c r="F288" s="145">
        <v>551398</v>
      </c>
      <c r="G288" s="145">
        <v>106949</v>
      </c>
      <c r="H288" s="145">
        <v>25193</v>
      </c>
      <c r="I288" s="145">
        <v>276196</v>
      </c>
      <c r="J288" s="145">
        <v>19688</v>
      </c>
      <c r="K288" s="145">
        <v>150117</v>
      </c>
      <c r="L288" s="145">
        <v>2584212</v>
      </c>
      <c r="M288" s="145">
        <v>93299</v>
      </c>
      <c r="N288" s="145">
        <v>24485</v>
      </c>
      <c r="O288" s="145">
        <v>529075</v>
      </c>
      <c r="P288" s="145">
        <v>16568</v>
      </c>
      <c r="Q288" s="145">
        <v>209718</v>
      </c>
      <c r="R288" s="145">
        <v>1158426</v>
      </c>
      <c r="S288" s="145">
        <v>153371</v>
      </c>
      <c r="T288" s="145">
        <v>217721</v>
      </c>
      <c r="U288" s="145">
        <v>3095213</v>
      </c>
      <c r="V288" s="145">
        <v>136357</v>
      </c>
      <c r="W288" s="145">
        <v>798789</v>
      </c>
      <c r="X288" s="145">
        <v>3813884</v>
      </c>
      <c r="Y288" s="145">
        <v>541879</v>
      </c>
      <c r="Z288" s="145">
        <v>46775</v>
      </c>
      <c r="AA288" s="145">
        <v>637712</v>
      </c>
      <c r="AB288" s="145">
        <v>34391</v>
      </c>
      <c r="AC288" s="145">
        <v>40086</v>
      </c>
      <c r="AD288" s="145">
        <v>1354393</v>
      </c>
      <c r="AE288" s="145">
        <v>27758</v>
      </c>
      <c r="AF288" s="145">
        <v>103800</v>
      </c>
      <c r="AG288" s="145">
        <v>1788088</v>
      </c>
      <c r="AH288" s="145">
        <v>83337</v>
      </c>
    </row>
    <row r="289" spans="1:34" x14ac:dyDescent="0.15">
      <c r="A289" s="265" t="s">
        <v>149</v>
      </c>
      <c r="B289" s="106">
        <v>47666</v>
      </c>
      <c r="C289" s="106">
        <v>556331</v>
      </c>
      <c r="D289" s="106">
        <v>45365</v>
      </c>
      <c r="E289" s="106">
        <v>227634</v>
      </c>
      <c r="F289" s="106">
        <v>831919</v>
      </c>
      <c r="G289" s="106">
        <v>134217</v>
      </c>
      <c r="H289" s="106">
        <v>27289</v>
      </c>
      <c r="I289" s="106">
        <v>157841</v>
      </c>
      <c r="J289" s="106">
        <v>20405</v>
      </c>
      <c r="K289" s="106">
        <v>135008</v>
      </c>
      <c r="L289" s="106">
        <v>1030437</v>
      </c>
      <c r="M289" s="106">
        <v>85292</v>
      </c>
      <c r="N289" s="106">
        <v>8500</v>
      </c>
      <c r="O289" s="106">
        <v>77387</v>
      </c>
      <c r="P289" s="106">
        <v>7398</v>
      </c>
      <c r="Q289" s="106">
        <v>217017</v>
      </c>
      <c r="R289" s="106">
        <v>1410082</v>
      </c>
      <c r="S289" s="106">
        <v>152381</v>
      </c>
      <c r="T289" s="106">
        <v>122447</v>
      </c>
      <c r="U289" s="106">
        <v>880907</v>
      </c>
      <c r="V289" s="106">
        <v>62430</v>
      </c>
      <c r="W289" s="106">
        <v>927701</v>
      </c>
      <c r="X289" s="106">
        <v>4242224</v>
      </c>
      <c r="Y289" s="106">
        <v>529431</v>
      </c>
      <c r="Z289" s="106">
        <v>61588</v>
      </c>
      <c r="AA289" s="106">
        <v>689021</v>
      </c>
      <c r="AB289" s="106">
        <v>45672</v>
      </c>
      <c r="AC289" s="106">
        <v>54854</v>
      </c>
      <c r="AD289" s="106">
        <v>358241</v>
      </c>
      <c r="AE289" s="106">
        <v>38963</v>
      </c>
      <c r="AF289" s="106">
        <v>116716</v>
      </c>
      <c r="AG289" s="106">
        <v>1207528</v>
      </c>
      <c r="AH289" s="106">
        <v>92528</v>
      </c>
    </row>
    <row r="290" spans="1:34" x14ac:dyDescent="0.15">
      <c r="A290" s="168" t="s">
        <v>56</v>
      </c>
      <c r="B290" s="151">
        <f>SUM(B277:B289)</f>
        <v>1476299</v>
      </c>
      <c r="C290" s="151">
        <f t="shared" ref="C290:AH290" si="143">SUM(C277:C289)</f>
        <v>16438293</v>
      </c>
      <c r="D290" s="151">
        <f t="shared" si="143"/>
        <v>1008722</v>
      </c>
      <c r="E290" s="151">
        <f t="shared" si="143"/>
        <v>686061</v>
      </c>
      <c r="F290" s="151">
        <f t="shared" si="143"/>
        <v>3196302</v>
      </c>
      <c r="G290" s="151">
        <f t="shared" si="143"/>
        <v>423869</v>
      </c>
      <c r="H290" s="151">
        <f t="shared" si="143"/>
        <v>113370</v>
      </c>
      <c r="I290" s="151">
        <f t="shared" si="143"/>
        <v>1304491</v>
      </c>
      <c r="J290" s="151">
        <f t="shared" si="143"/>
        <v>86659</v>
      </c>
      <c r="K290" s="151">
        <f t="shared" si="143"/>
        <v>2361576</v>
      </c>
      <c r="L290" s="151">
        <f t="shared" si="143"/>
        <v>60720118</v>
      </c>
      <c r="M290" s="151">
        <f t="shared" si="143"/>
        <v>1366629</v>
      </c>
      <c r="N290" s="151">
        <f t="shared" si="143"/>
        <v>119042</v>
      </c>
      <c r="O290" s="151">
        <f t="shared" si="143"/>
        <v>1631853</v>
      </c>
      <c r="P290" s="151">
        <f t="shared" si="143"/>
        <v>83806</v>
      </c>
      <c r="Q290" s="151">
        <f t="shared" si="143"/>
        <v>1739726</v>
      </c>
      <c r="R290" s="151">
        <f t="shared" si="143"/>
        <v>11717769</v>
      </c>
      <c r="S290" s="151">
        <f t="shared" si="143"/>
        <v>1243292</v>
      </c>
      <c r="T290" s="151">
        <f t="shared" si="143"/>
        <v>3731405</v>
      </c>
      <c r="U290" s="151">
        <f t="shared" si="143"/>
        <v>46439623</v>
      </c>
      <c r="V290" s="151">
        <f t="shared" si="143"/>
        <v>1943693</v>
      </c>
      <c r="W290" s="151">
        <f t="shared" si="143"/>
        <v>7798368</v>
      </c>
      <c r="X290" s="151">
        <f t="shared" si="143"/>
        <v>45869775</v>
      </c>
      <c r="Y290" s="151">
        <f t="shared" si="143"/>
        <v>5190875</v>
      </c>
      <c r="Z290" s="151">
        <f t="shared" si="143"/>
        <v>331561</v>
      </c>
      <c r="AA290" s="151">
        <f t="shared" si="143"/>
        <v>3210966</v>
      </c>
      <c r="AB290" s="151">
        <f t="shared" si="143"/>
        <v>245358</v>
      </c>
      <c r="AC290" s="151">
        <f t="shared" si="143"/>
        <v>427817</v>
      </c>
      <c r="AD290" s="151">
        <f t="shared" si="143"/>
        <v>4325656</v>
      </c>
      <c r="AE290" s="151">
        <f t="shared" si="143"/>
        <v>291227</v>
      </c>
      <c r="AF290" s="151">
        <f t="shared" si="143"/>
        <v>1254121</v>
      </c>
      <c r="AG290" s="151">
        <f t="shared" si="143"/>
        <v>10813364</v>
      </c>
      <c r="AH290" s="151">
        <f t="shared" si="143"/>
        <v>1028776</v>
      </c>
    </row>
    <row r="297" spans="1:34" x14ac:dyDescent="0.15">
      <c r="A297" s="35" t="s">
        <v>119</v>
      </c>
    </row>
  </sheetData>
  <mergeCells count="32">
    <mergeCell ref="AC275:AE275"/>
    <mergeCell ref="AF275:AH275"/>
    <mergeCell ref="B275:D275"/>
    <mergeCell ref="E275:G275"/>
    <mergeCell ref="H275:J275"/>
    <mergeCell ref="K275:M275"/>
    <mergeCell ref="N275:P275"/>
    <mergeCell ref="Q275:S275"/>
    <mergeCell ref="T275:V275"/>
    <mergeCell ref="W275:Y275"/>
    <mergeCell ref="Z275:AB275"/>
    <mergeCell ref="AC237:AE237"/>
    <mergeCell ref="AF237:AH237"/>
    <mergeCell ref="N237:P237"/>
    <mergeCell ref="Q237:S237"/>
    <mergeCell ref="T237:V237"/>
    <mergeCell ref="W237:Y237"/>
    <mergeCell ref="Z237:AB237"/>
    <mergeCell ref="B222:M222"/>
    <mergeCell ref="B238:M238"/>
    <mergeCell ref="A170:H170"/>
    <mergeCell ref="A155:M155"/>
    <mergeCell ref="B255:D255"/>
    <mergeCell ref="E255:G255"/>
    <mergeCell ref="H255:J255"/>
    <mergeCell ref="K255:M255"/>
    <mergeCell ref="B139:M139"/>
    <mergeCell ref="B19:M19"/>
    <mergeCell ref="B35:M35"/>
    <mergeCell ref="B71:M71"/>
    <mergeCell ref="B87:M87"/>
    <mergeCell ref="B123:M123"/>
  </mergeCells>
  <pageMargins left="0.75" right="0.75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W31"/>
  <sheetViews>
    <sheetView zoomScale="90" zoomScaleNormal="90" workbookViewId="0">
      <selection activeCell="N37" sqref="N37"/>
    </sheetView>
  </sheetViews>
  <sheetFormatPr baseColWidth="10" defaultColWidth="8.83203125" defaultRowHeight="13" x14ac:dyDescent="0.15"/>
  <cols>
    <col min="1" max="1" width="6" customWidth="1"/>
    <col min="2" max="5" width="15.6640625" customWidth="1"/>
    <col min="6" max="6" width="20.1640625" customWidth="1"/>
    <col min="7" max="8" width="13.33203125" customWidth="1"/>
    <col min="9" max="10" width="11.33203125" customWidth="1"/>
    <col min="11" max="11" width="12.5" customWidth="1"/>
    <col min="12" max="12" width="14.33203125" customWidth="1"/>
    <col min="13" max="13" width="11.33203125" customWidth="1"/>
    <col min="14" max="15" width="14.5" customWidth="1"/>
    <col min="16" max="16" width="14" customWidth="1"/>
    <col min="17" max="17" width="10.33203125" bestFit="1" customWidth="1"/>
    <col min="18" max="18" width="15" bestFit="1" customWidth="1"/>
    <col min="23" max="23" width="19.1640625" customWidth="1"/>
  </cols>
  <sheetData>
    <row r="1" spans="2:23" ht="39" customHeight="1" x14ac:dyDescent="0.15">
      <c r="B1" s="370" t="s">
        <v>93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</row>
    <row r="2" spans="2:23" ht="42" customHeight="1" x14ac:dyDescent="0.15"/>
    <row r="3" spans="2:23" ht="26.25" customHeight="1" x14ac:dyDescent="0.15">
      <c r="B3" s="98" t="s">
        <v>38</v>
      </c>
      <c r="C3" s="239" t="s">
        <v>21</v>
      </c>
      <c r="D3" s="97" t="s">
        <v>198</v>
      </c>
      <c r="E3" s="97" t="s">
        <v>189</v>
      </c>
      <c r="F3" s="239" t="s">
        <v>22</v>
      </c>
      <c r="G3" s="239" t="s">
        <v>190</v>
      </c>
      <c r="H3" s="239" t="s">
        <v>188</v>
      </c>
      <c r="I3" s="239" t="s">
        <v>199</v>
      </c>
      <c r="J3" s="239" t="s">
        <v>200</v>
      </c>
      <c r="K3" s="97" t="s">
        <v>153</v>
      </c>
      <c r="L3" s="97" t="s">
        <v>154</v>
      </c>
      <c r="M3" s="97" t="s">
        <v>23</v>
      </c>
      <c r="N3" s="97" t="s">
        <v>94</v>
      </c>
      <c r="O3" s="97" t="s">
        <v>151</v>
      </c>
      <c r="P3" s="97" t="s">
        <v>152</v>
      </c>
      <c r="Q3" s="100" t="s">
        <v>24</v>
      </c>
      <c r="R3" s="100" t="s">
        <v>25</v>
      </c>
      <c r="S3" s="100" t="s">
        <v>26</v>
      </c>
    </row>
    <row r="4" spans="2:23" x14ac:dyDescent="0.15">
      <c r="B4" s="107" t="s">
        <v>88</v>
      </c>
      <c r="C4" s="190">
        <v>559</v>
      </c>
      <c r="D4" s="190">
        <v>180621</v>
      </c>
      <c r="E4" s="106">
        <v>272524</v>
      </c>
      <c r="F4" s="190">
        <v>3360</v>
      </c>
      <c r="G4" s="186">
        <f>D4+F4</f>
        <v>183981</v>
      </c>
      <c r="H4" s="186">
        <f>E4+F4</f>
        <v>275884</v>
      </c>
      <c r="I4" s="190">
        <v>231461</v>
      </c>
      <c r="J4" s="106">
        <v>272524</v>
      </c>
      <c r="K4" s="183">
        <v>79.28912099999998</v>
      </c>
      <c r="L4" s="183">
        <v>1874.8882607511343</v>
      </c>
      <c r="M4" s="185">
        <f>L4/365</f>
        <v>5.1366801664414643</v>
      </c>
      <c r="N4" s="182">
        <f>L4/1024</f>
        <v>1.8309455671397796</v>
      </c>
      <c r="O4" s="183">
        <v>22.286325000000005</v>
      </c>
      <c r="P4" s="184">
        <v>978.66715925454184</v>
      </c>
      <c r="Q4" s="182">
        <f>C18</f>
        <v>90.093598999999998</v>
      </c>
      <c r="R4" s="182">
        <f>C31</f>
        <v>842.38937777741194</v>
      </c>
      <c r="S4" s="185">
        <f>R4/365</f>
        <v>2.3079161034997586</v>
      </c>
    </row>
    <row r="5" spans="2:23" x14ac:dyDescent="0.15">
      <c r="B5" s="267" t="s">
        <v>122</v>
      </c>
      <c r="C5" s="267" t="s">
        <v>171</v>
      </c>
      <c r="D5" s="267" t="s">
        <v>120</v>
      </c>
      <c r="E5" s="267"/>
      <c r="F5" s="267" t="s">
        <v>172</v>
      </c>
      <c r="G5" s="268"/>
      <c r="H5" s="268"/>
      <c r="I5" s="267" t="s">
        <v>120</v>
      </c>
      <c r="J5" s="267"/>
      <c r="K5" s="267" t="s">
        <v>121</v>
      </c>
      <c r="L5" s="267" t="s">
        <v>121</v>
      </c>
      <c r="M5" s="266"/>
      <c r="N5" s="266"/>
      <c r="O5" s="267" t="s">
        <v>164</v>
      </c>
      <c r="P5" s="267" t="s">
        <v>164</v>
      </c>
      <c r="Q5" s="266"/>
      <c r="R5" s="266"/>
      <c r="S5" s="266"/>
      <c r="T5" s="266"/>
      <c r="U5" s="266"/>
      <c r="V5" s="266"/>
      <c r="W5" s="266"/>
    </row>
    <row r="6" spans="2:23" x14ac:dyDescent="0.15">
      <c r="B6" s="3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2:23" x14ac:dyDescent="0.15">
      <c r="B7" s="108" t="s">
        <v>68</v>
      </c>
      <c r="C7" s="116"/>
      <c r="D7" s="116"/>
      <c r="E7" s="116"/>
      <c r="F7" s="116"/>
      <c r="G7" s="116"/>
      <c r="H7" s="116"/>
      <c r="I7" s="115"/>
      <c r="J7" s="115"/>
      <c r="K7" s="115"/>
      <c r="L7" s="116"/>
      <c r="M7" s="115"/>
      <c r="N7" s="115"/>
      <c r="O7" s="115"/>
      <c r="P7" s="116"/>
      <c r="Q7" s="116"/>
      <c r="R7" s="116"/>
      <c r="S7" s="116"/>
    </row>
    <row r="8" spans="2:23" x14ac:dyDescent="0.15">
      <c r="B8" s="98" t="s">
        <v>49</v>
      </c>
      <c r="C8" s="120" t="s">
        <v>88</v>
      </c>
      <c r="D8" s="39"/>
      <c r="E8" s="39"/>
      <c r="F8" s="116"/>
      <c r="G8" s="117"/>
      <c r="H8" s="117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23" ht="14" x14ac:dyDescent="0.15">
      <c r="B9" s="253" t="s">
        <v>41</v>
      </c>
      <c r="C9" s="252">
        <v>17.264521999999999</v>
      </c>
      <c r="D9" s="118"/>
      <c r="E9" s="118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2:23" ht="14" x14ac:dyDescent="0.15">
      <c r="B10" s="253" t="s">
        <v>42</v>
      </c>
      <c r="C10" s="252">
        <v>22.105111999999998</v>
      </c>
      <c r="D10" s="118"/>
      <c r="E10" s="118"/>
      <c r="F10" s="116"/>
      <c r="G10" s="116"/>
      <c r="H10" s="116"/>
      <c r="I10" s="116"/>
      <c r="J10" s="116"/>
      <c r="K10" s="116"/>
      <c r="L10" s="116"/>
      <c r="M10" s="116"/>
      <c r="N10" s="119"/>
      <c r="O10" s="116"/>
      <c r="P10" s="116"/>
      <c r="Q10" s="116"/>
      <c r="R10" s="116"/>
      <c r="S10" s="116"/>
    </row>
    <row r="11" spans="2:23" ht="14" x14ac:dyDescent="0.15">
      <c r="B11" s="253" t="s">
        <v>43</v>
      </c>
      <c r="C11" s="252">
        <v>65.958472999999998</v>
      </c>
      <c r="D11" s="118"/>
      <c r="E11" s="118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2:23" ht="14" x14ac:dyDescent="0.15">
      <c r="B12" s="253" t="s">
        <v>44</v>
      </c>
      <c r="C12" s="252">
        <v>89.748705000000001</v>
      </c>
      <c r="D12" s="118"/>
      <c r="E12" s="118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2:23" ht="14" x14ac:dyDescent="0.15">
      <c r="B13" s="253" t="s">
        <v>45</v>
      </c>
      <c r="C13" s="252">
        <v>69.865531000000004</v>
      </c>
      <c r="D13" s="118"/>
      <c r="E13" s="118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23" ht="14" x14ac:dyDescent="0.15">
      <c r="B14" s="253" t="s">
        <v>47</v>
      </c>
      <c r="C14" s="252">
        <v>72.539675000000003</v>
      </c>
      <c r="D14" s="118"/>
      <c r="E14" s="118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2:23" ht="14" x14ac:dyDescent="0.15">
      <c r="B15" s="253" t="s">
        <v>79</v>
      </c>
      <c r="C15" s="252">
        <v>76.3</v>
      </c>
      <c r="D15" s="118"/>
      <c r="E15" s="118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2:23" ht="14" x14ac:dyDescent="0.15">
      <c r="B16" s="253" t="s">
        <v>99</v>
      </c>
      <c r="C16" s="252">
        <v>123.179919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21" s="3" customFormat="1" ht="14" x14ac:dyDescent="0.15">
      <c r="A17"/>
      <c r="B17" s="253" t="s">
        <v>107</v>
      </c>
      <c r="C17" s="252">
        <v>134.37852100000001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U17"/>
    </row>
    <row r="18" spans="1:21" s="3" customFormat="1" ht="14" x14ac:dyDescent="0.15">
      <c r="A18"/>
      <c r="B18" s="254" t="s">
        <v>149</v>
      </c>
      <c r="C18" s="255">
        <v>90.093598999999998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U18"/>
    </row>
    <row r="19" spans="1:21" s="3" customFormat="1" x14ac:dyDescent="0.15">
      <c r="A19"/>
      <c r="B1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U19"/>
    </row>
    <row r="20" spans="1:21" s="3" customFormat="1" ht="14" x14ac:dyDescent="0.15">
      <c r="A20"/>
      <c r="B20" s="37" t="s">
        <v>25</v>
      </c>
      <c r="C20" s="116"/>
      <c r="D20" s="39"/>
      <c r="E20" s="39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U20"/>
    </row>
    <row r="21" spans="1:21" s="3" customFormat="1" x14ac:dyDescent="0.15">
      <c r="A21"/>
      <c r="B21" s="98" t="s">
        <v>49</v>
      </c>
      <c r="C21" s="120" t="s">
        <v>88</v>
      </c>
      <c r="D21" s="119"/>
      <c r="E21" s="119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U21"/>
    </row>
    <row r="22" spans="1:21" ht="14" x14ac:dyDescent="0.15">
      <c r="B22" s="253" t="s">
        <v>41</v>
      </c>
      <c r="C22" s="182">
        <v>239.357451171875</v>
      </c>
      <c r="D22" s="119"/>
      <c r="E22" s="119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21" ht="14" x14ac:dyDescent="0.15">
      <c r="B23" s="253" t="s">
        <v>42</v>
      </c>
      <c r="C23" s="182">
        <v>475.84899414062494</v>
      </c>
      <c r="D23" s="119"/>
      <c r="E23" s="119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21" ht="14" x14ac:dyDescent="0.15">
      <c r="B24" s="253" t="s">
        <v>43</v>
      </c>
      <c r="C24" s="182">
        <v>833.81921875</v>
      </c>
      <c r="D24" s="119"/>
      <c r="E24" s="119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21" ht="14" x14ac:dyDescent="0.15">
      <c r="B25" s="253" t="s">
        <v>44</v>
      </c>
      <c r="C25" s="182">
        <v>856.63578125000004</v>
      </c>
      <c r="D25" s="119"/>
      <c r="E25" s="119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21" ht="14" x14ac:dyDescent="0.15">
      <c r="B26" s="253" t="s">
        <v>45</v>
      </c>
      <c r="C26" s="182">
        <v>891.62641206054695</v>
      </c>
      <c r="D26" s="119"/>
      <c r="E26" s="119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21" ht="14" x14ac:dyDescent="0.15">
      <c r="B27" s="253" t="s">
        <v>47</v>
      </c>
      <c r="C27" s="182">
        <v>786.36682507619889</v>
      </c>
      <c r="D27" s="118"/>
      <c r="E27" s="118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21" ht="14" x14ac:dyDescent="0.15">
      <c r="B28" s="253" t="s">
        <v>79</v>
      </c>
      <c r="C28" s="252">
        <v>763.04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21" ht="14" x14ac:dyDescent="0.15">
      <c r="B29" s="253" t="s">
        <v>99</v>
      </c>
      <c r="C29" s="252">
        <v>889.13361675249939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spans="1:21" ht="14" x14ac:dyDescent="0.15">
      <c r="B30" s="253" t="s">
        <v>107</v>
      </c>
      <c r="C30" s="252">
        <v>874.06199730241701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spans="1:21" ht="14" x14ac:dyDescent="0.15">
      <c r="B31" s="254" t="s">
        <v>149</v>
      </c>
      <c r="C31" s="255">
        <v>842.38937777741194</v>
      </c>
    </row>
  </sheetData>
  <mergeCells count="1">
    <mergeCell ref="B1:R1"/>
  </mergeCells>
  <pageMargins left="0.75" right="0.7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I312"/>
  <sheetViews>
    <sheetView topLeftCell="A258" zoomScaleNormal="100" workbookViewId="0">
      <selection activeCell="B312" sqref="B312:D312"/>
    </sheetView>
  </sheetViews>
  <sheetFormatPr baseColWidth="10" defaultColWidth="8.83203125" defaultRowHeight="13" x14ac:dyDescent="0.15"/>
  <cols>
    <col min="1" max="1" width="8.83203125" style="78"/>
    <col min="2" max="2" width="12.6640625" style="78" customWidth="1"/>
    <col min="3" max="3" width="12.1640625" style="78" customWidth="1"/>
    <col min="4" max="4" width="11.5" style="78" customWidth="1"/>
    <col min="5" max="5" width="12.33203125" style="78" customWidth="1"/>
    <col min="6" max="6" width="11.5" style="78" customWidth="1"/>
    <col min="7" max="235" width="8.83203125" style="78"/>
    <col min="236" max="236" width="14.5" style="78" customWidth="1"/>
    <col min="237" max="237" width="16.5" style="78" customWidth="1"/>
    <col min="238" max="238" width="14.5" style="78" customWidth="1"/>
    <col min="239" max="241" width="8.83203125" style="78"/>
    <col min="242" max="242" width="10.33203125" style="78" bestFit="1" customWidth="1"/>
    <col min="243" max="243" width="10.1640625" style="78" customWidth="1"/>
    <col min="244" max="244" width="11.5" style="78" customWidth="1"/>
    <col min="245" max="245" width="11" style="78" customWidth="1"/>
    <col min="246" max="246" width="6.33203125" style="78" customWidth="1"/>
    <col min="247" max="247" width="11.33203125" style="78" customWidth="1"/>
    <col min="248" max="248" width="14.6640625" style="78" bestFit="1" customWidth="1"/>
    <col min="249" max="491" width="8.83203125" style="78"/>
    <col min="492" max="492" width="14.5" style="78" customWidth="1"/>
    <col min="493" max="493" width="16.5" style="78" customWidth="1"/>
    <col min="494" max="494" width="14.5" style="78" customWidth="1"/>
    <col min="495" max="497" width="8.83203125" style="78"/>
    <col min="498" max="498" width="10.33203125" style="78" bestFit="1" customWidth="1"/>
    <col min="499" max="499" width="10.1640625" style="78" customWidth="1"/>
    <col min="500" max="500" width="11.5" style="78" customWidth="1"/>
    <col min="501" max="501" width="11" style="78" customWidth="1"/>
    <col min="502" max="502" width="6.33203125" style="78" customWidth="1"/>
    <col min="503" max="503" width="11.33203125" style="78" customWidth="1"/>
    <col min="504" max="504" width="14.6640625" style="78" bestFit="1" customWidth="1"/>
    <col min="505" max="747" width="8.83203125" style="78"/>
    <col min="748" max="748" width="14.5" style="78" customWidth="1"/>
    <col min="749" max="749" width="16.5" style="78" customWidth="1"/>
    <col min="750" max="750" width="14.5" style="78" customWidth="1"/>
    <col min="751" max="753" width="8.83203125" style="78"/>
    <col min="754" max="754" width="10.33203125" style="78" bestFit="1" customWidth="1"/>
    <col min="755" max="755" width="10.1640625" style="78" customWidth="1"/>
    <col min="756" max="756" width="11.5" style="78" customWidth="1"/>
    <col min="757" max="757" width="11" style="78" customWidth="1"/>
    <col min="758" max="758" width="6.33203125" style="78" customWidth="1"/>
    <col min="759" max="759" width="11.33203125" style="78" customWidth="1"/>
    <col min="760" max="760" width="14.6640625" style="78" bestFit="1" customWidth="1"/>
    <col min="761" max="1003" width="8.83203125" style="78"/>
    <col min="1004" max="1004" width="14.5" style="78" customWidth="1"/>
    <col min="1005" max="1005" width="16.5" style="78" customWidth="1"/>
    <col min="1006" max="1006" width="14.5" style="78" customWidth="1"/>
    <col min="1007" max="1009" width="8.83203125" style="78"/>
    <col min="1010" max="1010" width="10.33203125" style="78" bestFit="1" customWidth="1"/>
    <col min="1011" max="1011" width="10.1640625" style="78" customWidth="1"/>
    <col min="1012" max="1012" width="11.5" style="78" customWidth="1"/>
    <col min="1013" max="1013" width="11" style="78" customWidth="1"/>
    <col min="1014" max="1014" width="6.33203125" style="78" customWidth="1"/>
    <col min="1015" max="1015" width="11.33203125" style="78" customWidth="1"/>
    <col min="1016" max="1016" width="14.6640625" style="78" bestFit="1" customWidth="1"/>
    <col min="1017" max="1259" width="8.83203125" style="78"/>
    <col min="1260" max="1260" width="14.5" style="78" customWidth="1"/>
    <col min="1261" max="1261" width="16.5" style="78" customWidth="1"/>
    <col min="1262" max="1262" width="14.5" style="78" customWidth="1"/>
    <col min="1263" max="1265" width="8.83203125" style="78"/>
    <col min="1266" max="1266" width="10.33203125" style="78" bestFit="1" customWidth="1"/>
    <col min="1267" max="1267" width="10.1640625" style="78" customWidth="1"/>
    <col min="1268" max="1268" width="11.5" style="78" customWidth="1"/>
    <col min="1269" max="1269" width="11" style="78" customWidth="1"/>
    <col min="1270" max="1270" width="6.33203125" style="78" customWidth="1"/>
    <col min="1271" max="1271" width="11.33203125" style="78" customWidth="1"/>
    <col min="1272" max="1272" width="14.6640625" style="78" bestFit="1" customWidth="1"/>
    <col min="1273" max="1515" width="8.83203125" style="78"/>
    <col min="1516" max="1516" width="14.5" style="78" customWidth="1"/>
    <col min="1517" max="1517" width="16.5" style="78" customWidth="1"/>
    <col min="1518" max="1518" width="14.5" style="78" customWidth="1"/>
    <col min="1519" max="1521" width="8.83203125" style="78"/>
    <col min="1522" max="1522" width="10.33203125" style="78" bestFit="1" customWidth="1"/>
    <col min="1523" max="1523" width="10.1640625" style="78" customWidth="1"/>
    <col min="1524" max="1524" width="11.5" style="78" customWidth="1"/>
    <col min="1525" max="1525" width="11" style="78" customWidth="1"/>
    <col min="1526" max="1526" width="6.33203125" style="78" customWidth="1"/>
    <col min="1527" max="1527" width="11.33203125" style="78" customWidth="1"/>
    <col min="1528" max="1528" width="14.6640625" style="78" bestFit="1" customWidth="1"/>
    <col min="1529" max="1771" width="8.83203125" style="78"/>
    <col min="1772" max="1772" width="14.5" style="78" customWidth="1"/>
    <col min="1773" max="1773" width="16.5" style="78" customWidth="1"/>
    <col min="1774" max="1774" width="14.5" style="78" customWidth="1"/>
    <col min="1775" max="1777" width="8.83203125" style="78"/>
    <col min="1778" max="1778" width="10.33203125" style="78" bestFit="1" customWidth="1"/>
    <col min="1779" max="1779" width="10.1640625" style="78" customWidth="1"/>
    <col min="1780" max="1780" width="11.5" style="78" customWidth="1"/>
    <col min="1781" max="1781" width="11" style="78" customWidth="1"/>
    <col min="1782" max="1782" width="6.33203125" style="78" customWidth="1"/>
    <col min="1783" max="1783" width="11.33203125" style="78" customWidth="1"/>
    <col min="1784" max="1784" width="14.6640625" style="78" bestFit="1" customWidth="1"/>
    <col min="1785" max="2027" width="8.83203125" style="78"/>
    <col min="2028" max="2028" width="14.5" style="78" customWidth="1"/>
    <col min="2029" max="2029" width="16.5" style="78" customWidth="1"/>
    <col min="2030" max="2030" width="14.5" style="78" customWidth="1"/>
    <col min="2031" max="2033" width="8.83203125" style="78"/>
    <col min="2034" max="2034" width="10.33203125" style="78" bestFit="1" customWidth="1"/>
    <col min="2035" max="2035" width="10.1640625" style="78" customWidth="1"/>
    <col min="2036" max="2036" width="11.5" style="78" customWidth="1"/>
    <col min="2037" max="2037" width="11" style="78" customWidth="1"/>
    <col min="2038" max="2038" width="6.33203125" style="78" customWidth="1"/>
    <col min="2039" max="2039" width="11.33203125" style="78" customWidth="1"/>
    <col min="2040" max="2040" width="14.6640625" style="78" bestFit="1" customWidth="1"/>
    <col min="2041" max="2283" width="8.83203125" style="78"/>
    <col min="2284" max="2284" width="14.5" style="78" customWidth="1"/>
    <col min="2285" max="2285" width="16.5" style="78" customWidth="1"/>
    <col min="2286" max="2286" width="14.5" style="78" customWidth="1"/>
    <col min="2287" max="2289" width="8.83203125" style="78"/>
    <col min="2290" max="2290" width="10.33203125" style="78" bestFit="1" customWidth="1"/>
    <col min="2291" max="2291" width="10.1640625" style="78" customWidth="1"/>
    <col min="2292" max="2292" width="11.5" style="78" customWidth="1"/>
    <col min="2293" max="2293" width="11" style="78" customWidth="1"/>
    <col min="2294" max="2294" width="6.33203125" style="78" customWidth="1"/>
    <col min="2295" max="2295" width="11.33203125" style="78" customWidth="1"/>
    <col min="2296" max="2296" width="14.6640625" style="78" bestFit="1" customWidth="1"/>
    <col min="2297" max="2539" width="8.83203125" style="78"/>
    <col min="2540" max="2540" width="14.5" style="78" customWidth="1"/>
    <col min="2541" max="2541" width="16.5" style="78" customWidth="1"/>
    <col min="2542" max="2542" width="14.5" style="78" customWidth="1"/>
    <col min="2543" max="2545" width="8.83203125" style="78"/>
    <col min="2546" max="2546" width="10.33203125" style="78" bestFit="1" customWidth="1"/>
    <col min="2547" max="2547" width="10.1640625" style="78" customWidth="1"/>
    <col min="2548" max="2548" width="11.5" style="78" customWidth="1"/>
    <col min="2549" max="2549" width="11" style="78" customWidth="1"/>
    <col min="2550" max="2550" width="6.33203125" style="78" customWidth="1"/>
    <col min="2551" max="2551" width="11.33203125" style="78" customWidth="1"/>
    <col min="2552" max="2552" width="14.6640625" style="78" bestFit="1" customWidth="1"/>
    <col min="2553" max="2795" width="8.83203125" style="78"/>
    <col min="2796" max="2796" width="14.5" style="78" customWidth="1"/>
    <col min="2797" max="2797" width="16.5" style="78" customWidth="1"/>
    <col min="2798" max="2798" width="14.5" style="78" customWidth="1"/>
    <col min="2799" max="2801" width="8.83203125" style="78"/>
    <col min="2802" max="2802" width="10.33203125" style="78" bestFit="1" customWidth="1"/>
    <col min="2803" max="2803" width="10.1640625" style="78" customWidth="1"/>
    <col min="2804" max="2804" width="11.5" style="78" customWidth="1"/>
    <col min="2805" max="2805" width="11" style="78" customWidth="1"/>
    <col min="2806" max="2806" width="6.33203125" style="78" customWidth="1"/>
    <col min="2807" max="2807" width="11.33203125" style="78" customWidth="1"/>
    <col min="2808" max="2808" width="14.6640625" style="78" bestFit="1" customWidth="1"/>
    <col min="2809" max="3051" width="8.83203125" style="78"/>
    <col min="3052" max="3052" width="14.5" style="78" customWidth="1"/>
    <col min="3053" max="3053" width="16.5" style="78" customWidth="1"/>
    <col min="3054" max="3054" width="14.5" style="78" customWidth="1"/>
    <col min="3055" max="3057" width="8.83203125" style="78"/>
    <col min="3058" max="3058" width="10.33203125" style="78" bestFit="1" customWidth="1"/>
    <col min="3059" max="3059" width="10.1640625" style="78" customWidth="1"/>
    <col min="3060" max="3060" width="11.5" style="78" customWidth="1"/>
    <col min="3061" max="3061" width="11" style="78" customWidth="1"/>
    <col min="3062" max="3062" width="6.33203125" style="78" customWidth="1"/>
    <col min="3063" max="3063" width="11.33203125" style="78" customWidth="1"/>
    <col min="3064" max="3064" width="14.6640625" style="78" bestFit="1" customWidth="1"/>
    <col min="3065" max="3307" width="8.83203125" style="78"/>
    <col min="3308" max="3308" width="14.5" style="78" customWidth="1"/>
    <col min="3309" max="3309" width="16.5" style="78" customWidth="1"/>
    <col min="3310" max="3310" width="14.5" style="78" customWidth="1"/>
    <col min="3311" max="3313" width="8.83203125" style="78"/>
    <col min="3314" max="3314" width="10.33203125" style="78" bestFit="1" customWidth="1"/>
    <col min="3315" max="3315" width="10.1640625" style="78" customWidth="1"/>
    <col min="3316" max="3316" width="11.5" style="78" customWidth="1"/>
    <col min="3317" max="3317" width="11" style="78" customWidth="1"/>
    <col min="3318" max="3318" width="6.33203125" style="78" customWidth="1"/>
    <col min="3319" max="3319" width="11.33203125" style="78" customWidth="1"/>
    <col min="3320" max="3320" width="14.6640625" style="78" bestFit="1" customWidth="1"/>
    <col min="3321" max="3563" width="8.83203125" style="78"/>
    <col min="3564" max="3564" width="14.5" style="78" customWidth="1"/>
    <col min="3565" max="3565" width="16.5" style="78" customWidth="1"/>
    <col min="3566" max="3566" width="14.5" style="78" customWidth="1"/>
    <col min="3567" max="3569" width="8.83203125" style="78"/>
    <col min="3570" max="3570" width="10.33203125" style="78" bestFit="1" customWidth="1"/>
    <col min="3571" max="3571" width="10.1640625" style="78" customWidth="1"/>
    <col min="3572" max="3572" width="11.5" style="78" customWidth="1"/>
    <col min="3573" max="3573" width="11" style="78" customWidth="1"/>
    <col min="3574" max="3574" width="6.33203125" style="78" customWidth="1"/>
    <col min="3575" max="3575" width="11.33203125" style="78" customWidth="1"/>
    <col min="3576" max="3576" width="14.6640625" style="78" bestFit="1" customWidth="1"/>
    <col min="3577" max="3819" width="8.83203125" style="78"/>
    <col min="3820" max="3820" width="14.5" style="78" customWidth="1"/>
    <col min="3821" max="3821" width="16.5" style="78" customWidth="1"/>
    <col min="3822" max="3822" width="14.5" style="78" customWidth="1"/>
    <col min="3823" max="3825" width="8.83203125" style="78"/>
    <col min="3826" max="3826" width="10.33203125" style="78" bestFit="1" customWidth="1"/>
    <col min="3827" max="3827" width="10.1640625" style="78" customWidth="1"/>
    <col min="3828" max="3828" width="11.5" style="78" customWidth="1"/>
    <col min="3829" max="3829" width="11" style="78" customWidth="1"/>
    <col min="3830" max="3830" width="6.33203125" style="78" customWidth="1"/>
    <col min="3831" max="3831" width="11.33203125" style="78" customWidth="1"/>
    <col min="3832" max="3832" width="14.6640625" style="78" bestFit="1" customWidth="1"/>
    <col min="3833" max="4075" width="8.83203125" style="78"/>
    <col min="4076" max="4076" width="14.5" style="78" customWidth="1"/>
    <col min="4077" max="4077" width="16.5" style="78" customWidth="1"/>
    <col min="4078" max="4078" width="14.5" style="78" customWidth="1"/>
    <col min="4079" max="4081" width="8.83203125" style="78"/>
    <col min="4082" max="4082" width="10.33203125" style="78" bestFit="1" customWidth="1"/>
    <col min="4083" max="4083" width="10.1640625" style="78" customWidth="1"/>
    <col min="4084" max="4084" width="11.5" style="78" customWidth="1"/>
    <col min="4085" max="4085" width="11" style="78" customWidth="1"/>
    <col min="4086" max="4086" width="6.33203125" style="78" customWidth="1"/>
    <col min="4087" max="4087" width="11.33203125" style="78" customWidth="1"/>
    <col min="4088" max="4088" width="14.6640625" style="78" bestFit="1" customWidth="1"/>
    <col min="4089" max="4331" width="8.83203125" style="78"/>
    <col min="4332" max="4332" width="14.5" style="78" customWidth="1"/>
    <col min="4333" max="4333" width="16.5" style="78" customWidth="1"/>
    <col min="4334" max="4334" width="14.5" style="78" customWidth="1"/>
    <col min="4335" max="4337" width="8.83203125" style="78"/>
    <col min="4338" max="4338" width="10.33203125" style="78" bestFit="1" customWidth="1"/>
    <col min="4339" max="4339" width="10.1640625" style="78" customWidth="1"/>
    <col min="4340" max="4340" width="11.5" style="78" customWidth="1"/>
    <col min="4341" max="4341" width="11" style="78" customWidth="1"/>
    <col min="4342" max="4342" width="6.33203125" style="78" customWidth="1"/>
    <col min="4343" max="4343" width="11.33203125" style="78" customWidth="1"/>
    <col min="4344" max="4344" width="14.6640625" style="78" bestFit="1" customWidth="1"/>
    <col min="4345" max="4587" width="8.83203125" style="78"/>
    <col min="4588" max="4588" width="14.5" style="78" customWidth="1"/>
    <col min="4589" max="4589" width="16.5" style="78" customWidth="1"/>
    <col min="4590" max="4590" width="14.5" style="78" customWidth="1"/>
    <col min="4591" max="4593" width="8.83203125" style="78"/>
    <col min="4594" max="4594" width="10.33203125" style="78" bestFit="1" customWidth="1"/>
    <col min="4595" max="4595" width="10.1640625" style="78" customWidth="1"/>
    <col min="4596" max="4596" width="11.5" style="78" customWidth="1"/>
    <col min="4597" max="4597" width="11" style="78" customWidth="1"/>
    <col min="4598" max="4598" width="6.33203125" style="78" customWidth="1"/>
    <col min="4599" max="4599" width="11.33203125" style="78" customWidth="1"/>
    <col min="4600" max="4600" width="14.6640625" style="78" bestFit="1" customWidth="1"/>
    <col min="4601" max="4843" width="8.83203125" style="78"/>
    <col min="4844" max="4844" width="14.5" style="78" customWidth="1"/>
    <col min="4845" max="4845" width="16.5" style="78" customWidth="1"/>
    <col min="4846" max="4846" width="14.5" style="78" customWidth="1"/>
    <col min="4847" max="4849" width="8.83203125" style="78"/>
    <col min="4850" max="4850" width="10.33203125" style="78" bestFit="1" customWidth="1"/>
    <col min="4851" max="4851" width="10.1640625" style="78" customWidth="1"/>
    <col min="4852" max="4852" width="11.5" style="78" customWidth="1"/>
    <col min="4853" max="4853" width="11" style="78" customWidth="1"/>
    <col min="4854" max="4854" width="6.33203125" style="78" customWidth="1"/>
    <col min="4855" max="4855" width="11.33203125" style="78" customWidth="1"/>
    <col min="4856" max="4856" width="14.6640625" style="78" bestFit="1" customWidth="1"/>
    <col min="4857" max="5099" width="8.83203125" style="78"/>
    <col min="5100" max="5100" width="14.5" style="78" customWidth="1"/>
    <col min="5101" max="5101" width="16.5" style="78" customWidth="1"/>
    <col min="5102" max="5102" width="14.5" style="78" customWidth="1"/>
    <col min="5103" max="5105" width="8.83203125" style="78"/>
    <col min="5106" max="5106" width="10.33203125" style="78" bestFit="1" customWidth="1"/>
    <col min="5107" max="5107" width="10.1640625" style="78" customWidth="1"/>
    <col min="5108" max="5108" width="11.5" style="78" customWidth="1"/>
    <col min="5109" max="5109" width="11" style="78" customWidth="1"/>
    <col min="5110" max="5110" width="6.33203125" style="78" customWidth="1"/>
    <col min="5111" max="5111" width="11.33203125" style="78" customWidth="1"/>
    <col min="5112" max="5112" width="14.6640625" style="78" bestFit="1" customWidth="1"/>
    <col min="5113" max="5355" width="8.83203125" style="78"/>
    <col min="5356" max="5356" width="14.5" style="78" customWidth="1"/>
    <col min="5357" max="5357" width="16.5" style="78" customWidth="1"/>
    <col min="5358" max="5358" width="14.5" style="78" customWidth="1"/>
    <col min="5359" max="5361" width="8.83203125" style="78"/>
    <col min="5362" max="5362" width="10.33203125" style="78" bestFit="1" customWidth="1"/>
    <col min="5363" max="5363" width="10.1640625" style="78" customWidth="1"/>
    <col min="5364" max="5364" width="11.5" style="78" customWidth="1"/>
    <col min="5365" max="5365" width="11" style="78" customWidth="1"/>
    <col min="5366" max="5366" width="6.33203125" style="78" customWidth="1"/>
    <col min="5367" max="5367" width="11.33203125" style="78" customWidth="1"/>
    <col min="5368" max="5368" width="14.6640625" style="78" bestFit="1" customWidth="1"/>
    <col min="5369" max="5611" width="8.83203125" style="78"/>
    <col min="5612" max="5612" width="14.5" style="78" customWidth="1"/>
    <col min="5613" max="5613" width="16.5" style="78" customWidth="1"/>
    <col min="5614" max="5614" width="14.5" style="78" customWidth="1"/>
    <col min="5615" max="5617" width="8.83203125" style="78"/>
    <col min="5618" max="5618" width="10.33203125" style="78" bestFit="1" customWidth="1"/>
    <col min="5619" max="5619" width="10.1640625" style="78" customWidth="1"/>
    <col min="5620" max="5620" width="11.5" style="78" customWidth="1"/>
    <col min="5621" max="5621" width="11" style="78" customWidth="1"/>
    <col min="5622" max="5622" width="6.33203125" style="78" customWidth="1"/>
    <col min="5623" max="5623" width="11.33203125" style="78" customWidth="1"/>
    <col min="5624" max="5624" width="14.6640625" style="78" bestFit="1" customWidth="1"/>
    <col min="5625" max="5867" width="8.83203125" style="78"/>
    <col min="5868" max="5868" width="14.5" style="78" customWidth="1"/>
    <col min="5869" max="5869" width="16.5" style="78" customWidth="1"/>
    <col min="5870" max="5870" width="14.5" style="78" customWidth="1"/>
    <col min="5871" max="5873" width="8.83203125" style="78"/>
    <col min="5874" max="5874" width="10.33203125" style="78" bestFit="1" customWidth="1"/>
    <col min="5875" max="5875" width="10.1640625" style="78" customWidth="1"/>
    <col min="5876" max="5876" width="11.5" style="78" customWidth="1"/>
    <col min="5877" max="5877" width="11" style="78" customWidth="1"/>
    <col min="5878" max="5878" width="6.33203125" style="78" customWidth="1"/>
    <col min="5879" max="5879" width="11.33203125" style="78" customWidth="1"/>
    <col min="5880" max="5880" width="14.6640625" style="78" bestFit="1" customWidth="1"/>
    <col min="5881" max="6123" width="8.83203125" style="78"/>
    <col min="6124" max="6124" width="14.5" style="78" customWidth="1"/>
    <col min="6125" max="6125" width="16.5" style="78" customWidth="1"/>
    <col min="6126" max="6126" width="14.5" style="78" customWidth="1"/>
    <col min="6127" max="6129" width="8.83203125" style="78"/>
    <col min="6130" max="6130" width="10.33203125" style="78" bestFit="1" customWidth="1"/>
    <col min="6131" max="6131" width="10.1640625" style="78" customWidth="1"/>
    <col min="6132" max="6132" width="11.5" style="78" customWidth="1"/>
    <col min="6133" max="6133" width="11" style="78" customWidth="1"/>
    <col min="6134" max="6134" width="6.33203125" style="78" customWidth="1"/>
    <col min="6135" max="6135" width="11.33203125" style="78" customWidth="1"/>
    <col min="6136" max="6136" width="14.6640625" style="78" bestFit="1" customWidth="1"/>
    <col min="6137" max="6379" width="8.83203125" style="78"/>
    <col min="6380" max="6380" width="14.5" style="78" customWidth="1"/>
    <col min="6381" max="6381" width="16.5" style="78" customWidth="1"/>
    <col min="6382" max="6382" width="14.5" style="78" customWidth="1"/>
    <col min="6383" max="6385" width="8.83203125" style="78"/>
    <col min="6386" max="6386" width="10.33203125" style="78" bestFit="1" customWidth="1"/>
    <col min="6387" max="6387" width="10.1640625" style="78" customWidth="1"/>
    <col min="6388" max="6388" width="11.5" style="78" customWidth="1"/>
    <col min="6389" max="6389" width="11" style="78" customWidth="1"/>
    <col min="6390" max="6390" width="6.33203125" style="78" customWidth="1"/>
    <col min="6391" max="6391" width="11.33203125" style="78" customWidth="1"/>
    <col min="6392" max="6392" width="14.6640625" style="78" bestFit="1" customWidth="1"/>
    <col min="6393" max="6635" width="8.83203125" style="78"/>
    <col min="6636" max="6636" width="14.5" style="78" customWidth="1"/>
    <col min="6637" max="6637" width="16.5" style="78" customWidth="1"/>
    <col min="6638" max="6638" width="14.5" style="78" customWidth="1"/>
    <col min="6639" max="6641" width="8.83203125" style="78"/>
    <col min="6642" max="6642" width="10.33203125" style="78" bestFit="1" customWidth="1"/>
    <col min="6643" max="6643" width="10.1640625" style="78" customWidth="1"/>
    <col min="6644" max="6644" width="11.5" style="78" customWidth="1"/>
    <col min="6645" max="6645" width="11" style="78" customWidth="1"/>
    <col min="6646" max="6646" width="6.33203125" style="78" customWidth="1"/>
    <col min="6647" max="6647" width="11.33203125" style="78" customWidth="1"/>
    <col min="6648" max="6648" width="14.6640625" style="78" bestFit="1" customWidth="1"/>
    <col min="6649" max="6891" width="8.83203125" style="78"/>
    <col min="6892" max="6892" width="14.5" style="78" customWidth="1"/>
    <col min="6893" max="6893" width="16.5" style="78" customWidth="1"/>
    <col min="6894" max="6894" width="14.5" style="78" customWidth="1"/>
    <col min="6895" max="6897" width="8.83203125" style="78"/>
    <col min="6898" max="6898" width="10.33203125" style="78" bestFit="1" customWidth="1"/>
    <col min="6899" max="6899" width="10.1640625" style="78" customWidth="1"/>
    <col min="6900" max="6900" width="11.5" style="78" customWidth="1"/>
    <col min="6901" max="6901" width="11" style="78" customWidth="1"/>
    <col min="6902" max="6902" width="6.33203125" style="78" customWidth="1"/>
    <col min="6903" max="6903" width="11.33203125" style="78" customWidth="1"/>
    <col min="6904" max="6904" width="14.6640625" style="78" bestFit="1" customWidth="1"/>
    <col min="6905" max="7147" width="8.83203125" style="78"/>
    <col min="7148" max="7148" width="14.5" style="78" customWidth="1"/>
    <col min="7149" max="7149" width="16.5" style="78" customWidth="1"/>
    <col min="7150" max="7150" width="14.5" style="78" customWidth="1"/>
    <col min="7151" max="7153" width="8.83203125" style="78"/>
    <col min="7154" max="7154" width="10.33203125" style="78" bestFit="1" customWidth="1"/>
    <col min="7155" max="7155" width="10.1640625" style="78" customWidth="1"/>
    <col min="7156" max="7156" width="11.5" style="78" customWidth="1"/>
    <col min="7157" max="7157" width="11" style="78" customWidth="1"/>
    <col min="7158" max="7158" width="6.33203125" style="78" customWidth="1"/>
    <col min="7159" max="7159" width="11.33203125" style="78" customWidth="1"/>
    <col min="7160" max="7160" width="14.6640625" style="78" bestFit="1" customWidth="1"/>
    <col min="7161" max="7403" width="8.83203125" style="78"/>
    <col min="7404" max="7404" width="14.5" style="78" customWidth="1"/>
    <col min="7405" max="7405" width="16.5" style="78" customWidth="1"/>
    <col min="7406" max="7406" width="14.5" style="78" customWidth="1"/>
    <col min="7407" max="7409" width="8.83203125" style="78"/>
    <col min="7410" max="7410" width="10.33203125" style="78" bestFit="1" customWidth="1"/>
    <col min="7411" max="7411" width="10.1640625" style="78" customWidth="1"/>
    <col min="7412" max="7412" width="11.5" style="78" customWidth="1"/>
    <col min="7413" max="7413" width="11" style="78" customWidth="1"/>
    <col min="7414" max="7414" width="6.33203125" style="78" customWidth="1"/>
    <col min="7415" max="7415" width="11.33203125" style="78" customWidth="1"/>
    <col min="7416" max="7416" width="14.6640625" style="78" bestFit="1" customWidth="1"/>
    <col min="7417" max="7659" width="8.83203125" style="78"/>
    <col min="7660" max="7660" width="14.5" style="78" customWidth="1"/>
    <col min="7661" max="7661" width="16.5" style="78" customWidth="1"/>
    <col min="7662" max="7662" width="14.5" style="78" customWidth="1"/>
    <col min="7663" max="7665" width="8.83203125" style="78"/>
    <col min="7666" max="7666" width="10.33203125" style="78" bestFit="1" customWidth="1"/>
    <col min="7667" max="7667" width="10.1640625" style="78" customWidth="1"/>
    <col min="7668" max="7668" width="11.5" style="78" customWidth="1"/>
    <col min="7669" max="7669" width="11" style="78" customWidth="1"/>
    <col min="7670" max="7670" width="6.33203125" style="78" customWidth="1"/>
    <col min="7671" max="7671" width="11.33203125" style="78" customWidth="1"/>
    <col min="7672" max="7672" width="14.6640625" style="78" bestFit="1" customWidth="1"/>
    <col min="7673" max="7915" width="8.83203125" style="78"/>
    <col min="7916" max="7916" width="14.5" style="78" customWidth="1"/>
    <col min="7917" max="7917" width="16.5" style="78" customWidth="1"/>
    <col min="7918" max="7918" width="14.5" style="78" customWidth="1"/>
    <col min="7919" max="7921" width="8.83203125" style="78"/>
    <col min="7922" max="7922" width="10.33203125" style="78" bestFit="1" customWidth="1"/>
    <col min="7923" max="7923" width="10.1640625" style="78" customWidth="1"/>
    <col min="7924" max="7924" width="11.5" style="78" customWidth="1"/>
    <col min="7925" max="7925" width="11" style="78" customWidth="1"/>
    <col min="7926" max="7926" width="6.33203125" style="78" customWidth="1"/>
    <col min="7927" max="7927" width="11.33203125" style="78" customWidth="1"/>
    <col min="7928" max="7928" width="14.6640625" style="78" bestFit="1" customWidth="1"/>
    <col min="7929" max="8171" width="8.83203125" style="78"/>
    <col min="8172" max="8172" width="14.5" style="78" customWidth="1"/>
    <col min="8173" max="8173" width="16.5" style="78" customWidth="1"/>
    <col min="8174" max="8174" width="14.5" style="78" customWidth="1"/>
    <col min="8175" max="8177" width="8.83203125" style="78"/>
    <col min="8178" max="8178" width="10.33203125" style="78" bestFit="1" customWidth="1"/>
    <col min="8179" max="8179" width="10.1640625" style="78" customWidth="1"/>
    <col min="8180" max="8180" width="11.5" style="78" customWidth="1"/>
    <col min="8181" max="8181" width="11" style="78" customWidth="1"/>
    <col min="8182" max="8182" width="6.33203125" style="78" customWidth="1"/>
    <col min="8183" max="8183" width="11.33203125" style="78" customWidth="1"/>
    <col min="8184" max="8184" width="14.6640625" style="78" bestFit="1" customWidth="1"/>
    <col min="8185" max="8427" width="8.83203125" style="78"/>
    <col min="8428" max="8428" width="14.5" style="78" customWidth="1"/>
    <col min="8429" max="8429" width="16.5" style="78" customWidth="1"/>
    <col min="8430" max="8430" width="14.5" style="78" customWidth="1"/>
    <col min="8431" max="8433" width="8.83203125" style="78"/>
    <col min="8434" max="8434" width="10.33203125" style="78" bestFit="1" customWidth="1"/>
    <col min="8435" max="8435" width="10.1640625" style="78" customWidth="1"/>
    <col min="8436" max="8436" width="11.5" style="78" customWidth="1"/>
    <col min="8437" max="8437" width="11" style="78" customWidth="1"/>
    <col min="8438" max="8438" width="6.33203125" style="78" customWidth="1"/>
    <col min="8439" max="8439" width="11.33203125" style="78" customWidth="1"/>
    <col min="8440" max="8440" width="14.6640625" style="78" bestFit="1" customWidth="1"/>
    <col min="8441" max="8683" width="8.83203125" style="78"/>
    <col min="8684" max="8684" width="14.5" style="78" customWidth="1"/>
    <col min="8685" max="8685" width="16.5" style="78" customWidth="1"/>
    <col min="8686" max="8686" width="14.5" style="78" customWidth="1"/>
    <col min="8687" max="8689" width="8.83203125" style="78"/>
    <col min="8690" max="8690" width="10.33203125" style="78" bestFit="1" customWidth="1"/>
    <col min="8691" max="8691" width="10.1640625" style="78" customWidth="1"/>
    <col min="8692" max="8692" width="11.5" style="78" customWidth="1"/>
    <col min="8693" max="8693" width="11" style="78" customWidth="1"/>
    <col min="8694" max="8694" width="6.33203125" style="78" customWidth="1"/>
    <col min="8695" max="8695" width="11.33203125" style="78" customWidth="1"/>
    <col min="8696" max="8696" width="14.6640625" style="78" bestFit="1" customWidth="1"/>
    <col min="8697" max="8939" width="8.83203125" style="78"/>
    <col min="8940" max="8940" width="14.5" style="78" customWidth="1"/>
    <col min="8941" max="8941" width="16.5" style="78" customWidth="1"/>
    <col min="8942" max="8942" width="14.5" style="78" customWidth="1"/>
    <col min="8943" max="8945" width="8.83203125" style="78"/>
    <col min="8946" max="8946" width="10.33203125" style="78" bestFit="1" customWidth="1"/>
    <col min="8947" max="8947" width="10.1640625" style="78" customWidth="1"/>
    <col min="8948" max="8948" width="11.5" style="78" customWidth="1"/>
    <col min="8949" max="8949" width="11" style="78" customWidth="1"/>
    <col min="8950" max="8950" width="6.33203125" style="78" customWidth="1"/>
    <col min="8951" max="8951" width="11.33203125" style="78" customWidth="1"/>
    <col min="8952" max="8952" width="14.6640625" style="78" bestFit="1" customWidth="1"/>
    <col min="8953" max="9195" width="8.83203125" style="78"/>
    <col min="9196" max="9196" width="14.5" style="78" customWidth="1"/>
    <col min="9197" max="9197" width="16.5" style="78" customWidth="1"/>
    <col min="9198" max="9198" width="14.5" style="78" customWidth="1"/>
    <col min="9199" max="9201" width="8.83203125" style="78"/>
    <col min="9202" max="9202" width="10.33203125" style="78" bestFit="1" customWidth="1"/>
    <col min="9203" max="9203" width="10.1640625" style="78" customWidth="1"/>
    <col min="9204" max="9204" width="11.5" style="78" customWidth="1"/>
    <col min="9205" max="9205" width="11" style="78" customWidth="1"/>
    <col min="9206" max="9206" width="6.33203125" style="78" customWidth="1"/>
    <col min="9207" max="9207" width="11.33203125" style="78" customWidth="1"/>
    <col min="9208" max="9208" width="14.6640625" style="78" bestFit="1" customWidth="1"/>
    <col min="9209" max="9451" width="8.83203125" style="78"/>
    <col min="9452" max="9452" width="14.5" style="78" customWidth="1"/>
    <col min="9453" max="9453" width="16.5" style="78" customWidth="1"/>
    <col min="9454" max="9454" width="14.5" style="78" customWidth="1"/>
    <col min="9455" max="9457" width="8.83203125" style="78"/>
    <col min="9458" max="9458" width="10.33203125" style="78" bestFit="1" customWidth="1"/>
    <col min="9459" max="9459" width="10.1640625" style="78" customWidth="1"/>
    <col min="9460" max="9460" width="11.5" style="78" customWidth="1"/>
    <col min="9461" max="9461" width="11" style="78" customWidth="1"/>
    <col min="9462" max="9462" width="6.33203125" style="78" customWidth="1"/>
    <col min="9463" max="9463" width="11.33203125" style="78" customWidth="1"/>
    <col min="9464" max="9464" width="14.6640625" style="78" bestFit="1" customWidth="1"/>
    <col min="9465" max="9707" width="8.83203125" style="78"/>
    <col min="9708" max="9708" width="14.5" style="78" customWidth="1"/>
    <col min="9709" max="9709" width="16.5" style="78" customWidth="1"/>
    <col min="9710" max="9710" width="14.5" style="78" customWidth="1"/>
    <col min="9711" max="9713" width="8.83203125" style="78"/>
    <col min="9714" max="9714" width="10.33203125" style="78" bestFit="1" customWidth="1"/>
    <col min="9715" max="9715" width="10.1640625" style="78" customWidth="1"/>
    <col min="9716" max="9716" width="11.5" style="78" customWidth="1"/>
    <col min="9717" max="9717" width="11" style="78" customWidth="1"/>
    <col min="9718" max="9718" width="6.33203125" style="78" customWidth="1"/>
    <col min="9719" max="9719" width="11.33203125" style="78" customWidth="1"/>
    <col min="9720" max="9720" width="14.6640625" style="78" bestFit="1" customWidth="1"/>
    <col min="9721" max="9963" width="8.83203125" style="78"/>
    <col min="9964" max="9964" width="14.5" style="78" customWidth="1"/>
    <col min="9965" max="9965" width="16.5" style="78" customWidth="1"/>
    <col min="9966" max="9966" width="14.5" style="78" customWidth="1"/>
    <col min="9967" max="9969" width="8.83203125" style="78"/>
    <col min="9970" max="9970" width="10.33203125" style="78" bestFit="1" customWidth="1"/>
    <col min="9971" max="9971" width="10.1640625" style="78" customWidth="1"/>
    <col min="9972" max="9972" width="11.5" style="78" customWidth="1"/>
    <col min="9973" max="9973" width="11" style="78" customWidth="1"/>
    <col min="9974" max="9974" width="6.33203125" style="78" customWidth="1"/>
    <col min="9975" max="9975" width="11.33203125" style="78" customWidth="1"/>
    <col min="9976" max="9976" width="14.6640625" style="78" bestFit="1" customWidth="1"/>
    <col min="9977" max="10219" width="8.83203125" style="78"/>
    <col min="10220" max="10220" width="14.5" style="78" customWidth="1"/>
    <col min="10221" max="10221" width="16.5" style="78" customWidth="1"/>
    <col min="10222" max="10222" width="14.5" style="78" customWidth="1"/>
    <col min="10223" max="10225" width="8.83203125" style="78"/>
    <col min="10226" max="10226" width="10.33203125" style="78" bestFit="1" customWidth="1"/>
    <col min="10227" max="10227" width="10.1640625" style="78" customWidth="1"/>
    <col min="10228" max="10228" width="11.5" style="78" customWidth="1"/>
    <col min="10229" max="10229" width="11" style="78" customWidth="1"/>
    <col min="10230" max="10230" width="6.33203125" style="78" customWidth="1"/>
    <col min="10231" max="10231" width="11.33203125" style="78" customWidth="1"/>
    <col min="10232" max="10232" width="14.6640625" style="78" bestFit="1" customWidth="1"/>
    <col min="10233" max="10475" width="8.83203125" style="78"/>
    <col min="10476" max="10476" width="14.5" style="78" customWidth="1"/>
    <col min="10477" max="10477" width="16.5" style="78" customWidth="1"/>
    <col min="10478" max="10478" width="14.5" style="78" customWidth="1"/>
    <col min="10479" max="10481" width="8.83203125" style="78"/>
    <col min="10482" max="10482" width="10.33203125" style="78" bestFit="1" customWidth="1"/>
    <col min="10483" max="10483" width="10.1640625" style="78" customWidth="1"/>
    <col min="10484" max="10484" width="11.5" style="78" customWidth="1"/>
    <col min="10485" max="10485" width="11" style="78" customWidth="1"/>
    <col min="10486" max="10486" width="6.33203125" style="78" customWidth="1"/>
    <col min="10487" max="10487" width="11.33203125" style="78" customWidth="1"/>
    <col min="10488" max="10488" width="14.6640625" style="78" bestFit="1" customWidth="1"/>
    <col min="10489" max="10731" width="8.83203125" style="78"/>
    <col min="10732" max="10732" width="14.5" style="78" customWidth="1"/>
    <col min="10733" max="10733" width="16.5" style="78" customWidth="1"/>
    <col min="10734" max="10734" width="14.5" style="78" customWidth="1"/>
    <col min="10735" max="10737" width="8.83203125" style="78"/>
    <col min="10738" max="10738" width="10.33203125" style="78" bestFit="1" customWidth="1"/>
    <col min="10739" max="10739" width="10.1640625" style="78" customWidth="1"/>
    <col min="10740" max="10740" width="11.5" style="78" customWidth="1"/>
    <col min="10741" max="10741" width="11" style="78" customWidth="1"/>
    <col min="10742" max="10742" width="6.33203125" style="78" customWidth="1"/>
    <col min="10743" max="10743" width="11.33203125" style="78" customWidth="1"/>
    <col min="10744" max="10744" width="14.6640625" style="78" bestFit="1" customWidth="1"/>
    <col min="10745" max="10987" width="8.83203125" style="78"/>
    <col min="10988" max="10988" width="14.5" style="78" customWidth="1"/>
    <col min="10989" max="10989" width="16.5" style="78" customWidth="1"/>
    <col min="10990" max="10990" width="14.5" style="78" customWidth="1"/>
    <col min="10991" max="10993" width="8.83203125" style="78"/>
    <col min="10994" max="10994" width="10.33203125" style="78" bestFit="1" customWidth="1"/>
    <col min="10995" max="10995" width="10.1640625" style="78" customWidth="1"/>
    <col min="10996" max="10996" width="11.5" style="78" customWidth="1"/>
    <col min="10997" max="10997" width="11" style="78" customWidth="1"/>
    <col min="10998" max="10998" width="6.33203125" style="78" customWidth="1"/>
    <col min="10999" max="10999" width="11.33203125" style="78" customWidth="1"/>
    <col min="11000" max="11000" width="14.6640625" style="78" bestFit="1" customWidth="1"/>
    <col min="11001" max="11243" width="8.83203125" style="78"/>
    <col min="11244" max="11244" width="14.5" style="78" customWidth="1"/>
    <col min="11245" max="11245" width="16.5" style="78" customWidth="1"/>
    <col min="11246" max="11246" width="14.5" style="78" customWidth="1"/>
    <col min="11247" max="11249" width="8.83203125" style="78"/>
    <col min="11250" max="11250" width="10.33203125" style="78" bestFit="1" customWidth="1"/>
    <col min="11251" max="11251" width="10.1640625" style="78" customWidth="1"/>
    <col min="11252" max="11252" width="11.5" style="78" customWidth="1"/>
    <col min="11253" max="11253" width="11" style="78" customWidth="1"/>
    <col min="11254" max="11254" width="6.33203125" style="78" customWidth="1"/>
    <col min="11255" max="11255" width="11.33203125" style="78" customWidth="1"/>
    <col min="11256" max="11256" width="14.6640625" style="78" bestFit="1" customWidth="1"/>
    <col min="11257" max="11499" width="8.83203125" style="78"/>
    <col min="11500" max="11500" width="14.5" style="78" customWidth="1"/>
    <col min="11501" max="11501" width="16.5" style="78" customWidth="1"/>
    <col min="11502" max="11502" width="14.5" style="78" customWidth="1"/>
    <col min="11503" max="11505" width="8.83203125" style="78"/>
    <col min="11506" max="11506" width="10.33203125" style="78" bestFit="1" customWidth="1"/>
    <col min="11507" max="11507" width="10.1640625" style="78" customWidth="1"/>
    <col min="11508" max="11508" width="11.5" style="78" customWidth="1"/>
    <col min="11509" max="11509" width="11" style="78" customWidth="1"/>
    <col min="11510" max="11510" width="6.33203125" style="78" customWidth="1"/>
    <col min="11511" max="11511" width="11.33203125" style="78" customWidth="1"/>
    <col min="11512" max="11512" width="14.6640625" style="78" bestFit="1" customWidth="1"/>
    <col min="11513" max="11755" width="8.83203125" style="78"/>
    <col min="11756" max="11756" width="14.5" style="78" customWidth="1"/>
    <col min="11757" max="11757" width="16.5" style="78" customWidth="1"/>
    <col min="11758" max="11758" width="14.5" style="78" customWidth="1"/>
    <col min="11759" max="11761" width="8.83203125" style="78"/>
    <col min="11762" max="11762" width="10.33203125" style="78" bestFit="1" customWidth="1"/>
    <col min="11763" max="11763" width="10.1640625" style="78" customWidth="1"/>
    <col min="11764" max="11764" width="11.5" style="78" customWidth="1"/>
    <col min="11765" max="11765" width="11" style="78" customWidth="1"/>
    <col min="11766" max="11766" width="6.33203125" style="78" customWidth="1"/>
    <col min="11767" max="11767" width="11.33203125" style="78" customWidth="1"/>
    <col min="11768" max="11768" width="14.6640625" style="78" bestFit="1" customWidth="1"/>
    <col min="11769" max="12011" width="8.83203125" style="78"/>
    <col min="12012" max="12012" width="14.5" style="78" customWidth="1"/>
    <col min="12013" max="12013" width="16.5" style="78" customWidth="1"/>
    <col min="12014" max="12014" width="14.5" style="78" customWidth="1"/>
    <col min="12015" max="12017" width="8.83203125" style="78"/>
    <col min="12018" max="12018" width="10.33203125" style="78" bestFit="1" customWidth="1"/>
    <col min="12019" max="12019" width="10.1640625" style="78" customWidth="1"/>
    <col min="12020" max="12020" width="11.5" style="78" customWidth="1"/>
    <col min="12021" max="12021" width="11" style="78" customWidth="1"/>
    <col min="12022" max="12022" width="6.33203125" style="78" customWidth="1"/>
    <col min="12023" max="12023" width="11.33203125" style="78" customWidth="1"/>
    <col min="12024" max="12024" width="14.6640625" style="78" bestFit="1" customWidth="1"/>
    <col min="12025" max="12267" width="8.83203125" style="78"/>
    <col min="12268" max="12268" width="14.5" style="78" customWidth="1"/>
    <col min="12269" max="12269" width="16.5" style="78" customWidth="1"/>
    <col min="12270" max="12270" width="14.5" style="78" customWidth="1"/>
    <col min="12271" max="12273" width="8.83203125" style="78"/>
    <col min="12274" max="12274" width="10.33203125" style="78" bestFit="1" customWidth="1"/>
    <col min="12275" max="12275" width="10.1640625" style="78" customWidth="1"/>
    <col min="12276" max="12276" width="11.5" style="78" customWidth="1"/>
    <col min="12277" max="12277" width="11" style="78" customWidth="1"/>
    <col min="12278" max="12278" width="6.33203125" style="78" customWidth="1"/>
    <col min="12279" max="12279" width="11.33203125" style="78" customWidth="1"/>
    <col min="12280" max="12280" width="14.6640625" style="78" bestFit="1" customWidth="1"/>
    <col min="12281" max="12523" width="8.83203125" style="78"/>
    <col min="12524" max="12524" width="14.5" style="78" customWidth="1"/>
    <col min="12525" max="12525" width="16.5" style="78" customWidth="1"/>
    <col min="12526" max="12526" width="14.5" style="78" customWidth="1"/>
    <col min="12527" max="12529" width="8.83203125" style="78"/>
    <col min="12530" max="12530" width="10.33203125" style="78" bestFit="1" customWidth="1"/>
    <col min="12531" max="12531" width="10.1640625" style="78" customWidth="1"/>
    <col min="12532" max="12532" width="11.5" style="78" customWidth="1"/>
    <col min="12533" max="12533" width="11" style="78" customWidth="1"/>
    <col min="12534" max="12534" width="6.33203125" style="78" customWidth="1"/>
    <col min="12535" max="12535" width="11.33203125" style="78" customWidth="1"/>
    <col min="12536" max="12536" width="14.6640625" style="78" bestFit="1" customWidth="1"/>
    <col min="12537" max="12779" width="8.83203125" style="78"/>
    <col min="12780" max="12780" width="14.5" style="78" customWidth="1"/>
    <col min="12781" max="12781" width="16.5" style="78" customWidth="1"/>
    <col min="12782" max="12782" width="14.5" style="78" customWidth="1"/>
    <col min="12783" max="12785" width="8.83203125" style="78"/>
    <col min="12786" max="12786" width="10.33203125" style="78" bestFit="1" customWidth="1"/>
    <col min="12787" max="12787" width="10.1640625" style="78" customWidth="1"/>
    <col min="12788" max="12788" width="11.5" style="78" customWidth="1"/>
    <col min="12789" max="12789" width="11" style="78" customWidth="1"/>
    <col min="12790" max="12790" width="6.33203125" style="78" customWidth="1"/>
    <col min="12791" max="12791" width="11.33203125" style="78" customWidth="1"/>
    <col min="12792" max="12792" width="14.6640625" style="78" bestFit="1" customWidth="1"/>
    <col min="12793" max="13035" width="8.83203125" style="78"/>
    <col min="13036" max="13036" width="14.5" style="78" customWidth="1"/>
    <col min="13037" max="13037" width="16.5" style="78" customWidth="1"/>
    <col min="13038" max="13038" width="14.5" style="78" customWidth="1"/>
    <col min="13039" max="13041" width="8.83203125" style="78"/>
    <col min="13042" max="13042" width="10.33203125" style="78" bestFit="1" customWidth="1"/>
    <col min="13043" max="13043" width="10.1640625" style="78" customWidth="1"/>
    <col min="13044" max="13044" width="11.5" style="78" customWidth="1"/>
    <col min="13045" max="13045" width="11" style="78" customWidth="1"/>
    <col min="13046" max="13046" width="6.33203125" style="78" customWidth="1"/>
    <col min="13047" max="13047" width="11.33203125" style="78" customWidth="1"/>
    <col min="13048" max="13048" width="14.6640625" style="78" bestFit="1" customWidth="1"/>
    <col min="13049" max="13291" width="8.83203125" style="78"/>
    <col min="13292" max="13292" width="14.5" style="78" customWidth="1"/>
    <col min="13293" max="13293" width="16.5" style="78" customWidth="1"/>
    <col min="13294" max="13294" width="14.5" style="78" customWidth="1"/>
    <col min="13295" max="13297" width="8.83203125" style="78"/>
    <col min="13298" max="13298" width="10.33203125" style="78" bestFit="1" customWidth="1"/>
    <col min="13299" max="13299" width="10.1640625" style="78" customWidth="1"/>
    <col min="13300" max="13300" width="11.5" style="78" customWidth="1"/>
    <col min="13301" max="13301" width="11" style="78" customWidth="1"/>
    <col min="13302" max="13302" width="6.33203125" style="78" customWidth="1"/>
    <col min="13303" max="13303" width="11.33203125" style="78" customWidth="1"/>
    <col min="13304" max="13304" width="14.6640625" style="78" bestFit="1" customWidth="1"/>
    <col min="13305" max="13547" width="8.83203125" style="78"/>
    <col min="13548" max="13548" width="14.5" style="78" customWidth="1"/>
    <col min="13549" max="13549" width="16.5" style="78" customWidth="1"/>
    <col min="13550" max="13550" width="14.5" style="78" customWidth="1"/>
    <col min="13551" max="13553" width="8.83203125" style="78"/>
    <col min="13554" max="13554" width="10.33203125" style="78" bestFit="1" customWidth="1"/>
    <col min="13555" max="13555" width="10.1640625" style="78" customWidth="1"/>
    <col min="13556" max="13556" width="11.5" style="78" customWidth="1"/>
    <col min="13557" max="13557" width="11" style="78" customWidth="1"/>
    <col min="13558" max="13558" width="6.33203125" style="78" customWidth="1"/>
    <col min="13559" max="13559" width="11.33203125" style="78" customWidth="1"/>
    <col min="13560" max="13560" width="14.6640625" style="78" bestFit="1" customWidth="1"/>
    <col min="13561" max="13803" width="8.83203125" style="78"/>
    <col min="13804" max="13804" width="14.5" style="78" customWidth="1"/>
    <col min="13805" max="13805" width="16.5" style="78" customWidth="1"/>
    <col min="13806" max="13806" width="14.5" style="78" customWidth="1"/>
    <col min="13807" max="13809" width="8.83203125" style="78"/>
    <col min="13810" max="13810" width="10.33203125" style="78" bestFit="1" customWidth="1"/>
    <col min="13811" max="13811" width="10.1640625" style="78" customWidth="1"/>
    <col min="13812" max="13812" width="11.5" style="78" customWidth="1"/>
    <col min="13813" max="13813" width="11" style="78" customWidth="1"/>
    <col min="13814" max="13814" width="6.33203125" style="78" customWidth="1"/>
    <col min="13815" max="13815" width="11.33203125" style="78" customWidth="1"/>
    <col min="13816" max="13816" width="14.6640625" style="78" bestFit="1" customWidth="1"/>
    <col min="13817" max="14059" width="8.83203125" style="78"/>
    <col min="14060" max="14060" width="14.5" style="78" customWidth="1"/>
    <col min="14061" max="14061" width="16.5" style="78" customWidth="1"/>
    <col min="14062" max="14062" width="14.5" style="78" customWidth="1"/>
    <col min="14063" max="14065" width="8.83203125" style="78"/>
    <col min="14066" max="14066" width="10.33203125" style="78" bestFit="1" customWidth="1"/>
    <col min="14067" max="14067" width="10.1640625" style="78" customWidth="1"/>
    <col min="14068" max="14068" width="11.5" style="78" customWidth="1"/>
    <col min="14069" max="14069" width="11" style="78" customWidth="1"/>
    <col min="14070" max="14070" width="6.33203125" style="78" customWidth="1"/>
    <col min="14071" max="14071" width="11.33203125" style="78" customWidth="1"/>
    <col min="14072" max="14072" width="14.6640625" style="78" bestFit="1" customWidth="1"/>
    <col min="14073" max="14315" width="8.83203125" style="78"/>
    <col min="14316" max="14316" width="14.5" style="78" customWidth="1"/>
    <col min="14317" max="14317" width="16.5" style="78" customWidth="1"/>
    <col min="14318" max="14318" width="14.5" style="78" customWidth="1"/>
    <col min="14319" max="14321" width="8.83203125" style="78"/>
    <col min="14322" max="14322" width="10.33203125" style="78" bestFit="1" customWidth="1"/>
    <col min="14323" max="14323" width="10.1640625" style="78" customWidth="1"/>
    <col min="14324" max="14324" width="11.5" style="78" customWidth="1"/>
    <col min="14325" max="14325" width="11" style="78" customWidth="1"/>
    <col min="14326" max="14326" width="6.33203125" style="78" customWidth="1"/>
    <col min="14327" max="14327" width="11.33203125" style="78" customWidth="1"/>
    <col min="14328" max="14328" width="14.6640625" style="78" bestFit="1" customWidth="1"/>
    <col min="14329" max="14571" width="8.83203125" style="78"/>
    <col min="14572" max="14572" width="14.5" style="78" customWidth="1"/>
    <col min="14573" max="14573" width="16.5" style="78" customWidth="1"/>
    <col min="14574" max="14574" width="14.5" style="78" customWidth="1"/>
    <col min="14575" max="14577" width="8.83203125" style="78"/>
    <col min="14578" max="14578" width="10.33203125" style="78" bestFit="1" customWidth="1"/>
    <col min="14579" max="14579" width="10.1640625" style="78" customWidth="1"/>
    <col min="14580" max="14580" width="11.5" style="78" customWidth="1"/>
    <col min="14581" max="14581" width="11" style="78" customWidth="1"/>
    <col min="14582" max="14582" width="6.33203125" style="78" customWidth="1"/>
    <col min="14583" max="14583" width="11.33203125" style="78" customWidth="1"/>
    <col min="14584" max="14584" width="14.6640625" style="78" bestFit="1" customWidth="1"/>
    <col min="14585" max="14827" width="8.83203125" style="78"/>
    <col min="14828" max="14828" width="14.5" style="78" customWidth="1"/>
    <col min="14829" max="14829" width="16.5" style="78" customWidth="1"/>
    <col min="14830" max="14830" width="14.5" style="78" customWidth="1"/>
    <col min="14831" max="14833" width="8.83203125" style="78"/>
    <col min="14834" max="14834" width="10.33203125" style="78" bestFit="1" customWidth="1"/>
    <col min="14835" max="14835" width="10.1640625" style="78" customWidth="1"/>
    <col min="14836" max="14836" width="11.5" style="78" customWidth="1"/>
    <col min="14837" max="14837" width="11" style="78" customWidth="1"/>
    <col min="14838" max="14838" width="6.33203125" style="78" customWidth="1"/>
    <col min="14839" max="14839" width="11.33203125" style="78" customWidth="1"/>
    <col min="14840" max="14840" width="14.6640625" style="78" bestFit="1" customWidth="1"/>
    <col min="14841" max="15083" width="8.83203125" style="78"/>
    <col min="15084" max="15084" width="14.5" style="78" customWidth="1"/>
    <col min="15085" max="15085" width="16.5" style="78" customWidth="1"/>
    <col min="15086" max="15086" width="14.5" style="78" customWidth="1"/>
    <col min="15087" max="15089" width="8.83203125" style="78"/>
    <col min="15090" max="15090" width="10.33203125" style="78" bestFit="1" customWidth="1"/>
    <col min="15091" max="15091" width="10.1640625" style="78" customWidth="1"/>
    <col min="15092" max="15092" width="11.5" style="78" customWidth="1"/>
    <col min="15093" max="15093" width="11" style="78" customWidth="1"/>
    <col min="15094" max="15094" width="6.33203125" style="78" customWidth="1"/>
    <col min="15095" max="15095" width="11.33203125" style="78" customWidth="1"/>
    <col min="15096" max="15096" width="14.6640625" style="78" bestFit="1" customWidth="1"/>
    <col min="15097" max="15339" width="8.83203125" style="78"/>
    <col min="15340" max="15340" width="14.5" style="78" customWidth="1"/>
    <col min="15341" max="15341" width="16.5" style="78" customWidth="1"/>
    <col min="15342" max="15342" width="14.5" style="78" customWidth="1"/>
    <col min="15343" max="15345" width="8.83203125" style="78"/>
    <col min="15346" max="15346" width="10.33203125" style="78" bestFit="1" customWidth="1"/>
    <col min="15347" max="15347" width="10.1640625" style="78" customWidth="1"/>
    <col min="15348" max="15348" width="11.5" style="78" customWidth="1"/>
    <col min="15349" max="15349" width="11" style="78" customWidth="1"/>
    <col min="15350" max="15350" width="6.33203125" style="78" customWidth="1"/>
    <col min="15351" max="15351" width="11.33203125" style="78" customWidth="1"/>
    <col min="15352" max="15352" width="14.6640625" style="78" bestFit="1" customWidth="1"/>
    <col min="15353" max="15595" width="8.83203125" style="78"/>
    <col min="15596" max="15596" width="14.5" style="78" customWidth="1"/>
    <col min="15597" max="15597" width="16.5" style="78" customWidth="1"/>
    <col min="15598" max="15598" width="14.5" style="78" customWidth="1"/>
    <col min="15599" max="15601" width="8.83203125" style="78"/>
    <col min="15602" max="15602" width="10.33203125" style="78" bestFit="1" customWidth="1"/>
    <col min="15603" max="15603" width="10.1640625" style="78" customWidth="1"/>
    <col min="15604" max="15604" width="11.5" style="78" customWidth="1"/>
    <col min="15605" max="15605" width="11" style="78" customWidth="1"/>
    <col min="15606" max="15606" width="6.33203125" style="78" customWidth="1"/>
    <col min="15607" max="15607" width="11.33203125" style="78" customWidth="1"/>
    <col min="15608" max="15608" width="14.6640625" style="78" bestFit="1" customWidth="1"/>
    <col min="15609" max="15851" width="8.83203125" style="78"/>
    <col min="15852" max="15852" width="14.5" style="78" customWidth="1"/>
    <col min="15853" max="15853" width="16.5" style="78" customWidth="1"/>
    <col min="15854" max="15854" width="14.5" style="78" customWidth="1"/>
    <col min="15855" max="15857" width="8.83203125" style="78"/>
    <col min="15858" max="15858" width="10.33203125" style="78" bestFit="1" customWidth="1"/>
    <col min="15859" max="15859" width="10.1640625" style="78" customWidth="1"/>
    <col min="15860" max="15860" width="11.5" style="78" customWidth="1"/>
    <col min="15861" max="15861" width="11" style="78" customWidth="1"/>
    <col min="15862" max="15862" width="6.33203125" style="78" customWidth="1"/>
    <col min="15863" max="15863" width="11.33203125" style="78" customWidth="1"/>
    <col min="15864" max="15864" width="14.6640625" style="78" bestFit="1" customWidth="1"/>
    <col min="15865" max="16107" width="8.83203125" style="78"/>
    <col min="16108" max="16108" width="14.5" style="78" customWidth="1"/>
    <col min="16109" max="16109" width="16.5" style="78" customWidth="1"/>
    <col min="16110" max="16110" width="14.5" style="78" customWidth="1"/>
    <col min="16111" max="16113" width="8.83203125" style="78"/>
    <col min="16114" max="16114" width="10.33203125" style="78" bestFit="1" customWidth="1"/>
    <col min="16115" max="16115" width="10.1640625" style="78" customWidth="1"/>
    <col min="16116" max="16116" width="11.5" style="78" customWidth="1"/>
    <col min="16117" max="16117" width="11" style="78" customWidth="1"/>
    <col min="16118" max="16118" width="6.33203125" style="78" customWidth="1"/>
    <col min="16119" max="16119" width="11.33203125" style="78" customWidth="1"/>
    <col min="16120" max="16120" width="14.6640625" style="78" bestFit="1" customWidth="1"/>
    <col min="16121" max="16384" width="8.83203125" style="78"/>
  </cols>
  <sheetData>
    <row r="1" spans="1:6" x14ac:dyDescent="0.15">
      <c r="A1" s="77" t="s">
        <v>76</v>
      </c>
    </row>
    <row r="2" spans="1:6" ht="28" x14ac:dyDescent="0.15">
      <c r="A2" s="79" t="s">
        <v>15</v>
      </c>
      <c r="B2" s="80" t="s">
        <v>88</v>
      </c>
      <c r="D2" s="79" t="s">
        <v>15</v>
      </c>
      <c r="E2" s="80" t="s">
        <v>88</v>
      </c>
    </row>
    <row r="3" spans="1:6" ht="15.75" customHeight="1" x14ac:dyDescent="0.15">
      <c r="A3" s="242" t="str">
        <f>D3</f>
        <v>2018-09</v>
      </c>
      <c r="B3" s="188">
        <f t="shared" ref="B3:B15" si="0">E3/1000000</f>
        <v>8.0772480000000009</v>
      </c>
      <c r="D3" s="245" t="s">
        <v>106</v>
      </c>
      <c r="E3" s="191">
        <v>8077248</v>
      </c>
      <c r="F3" s="130" t="s">
        <v>104</v>
      </c>
    </row>
    <row r="4" spans="1:6" ht="14" x14ac:dyDescent="0.15">
      <c r="A4" s="242" t="str">
        <f t="shared" ref="A4:A15" si="1">D4</f>
        <v>2018-10</v>
      </c>
      <c r="B4" s="188">
        <f t="shared" si="0"/>
        <v>9.3019890000000007</v>
      </c>
      <c r="D4" s="245" t="s">
        <v>134</v>
      </c>
      <c r="E4" s="191">
        <v>9301989</v>
      </c>
    </row>
    <row r="5" spans="1:6" ht="14" x14ac:dyDescent="0.15">
      <c r="A5" s="242" t="str">
        <f t="shared" si="1"/>
        <v>2018-11</v>
      </c>
      <c r="B5" s="188">
        <f t="shared" si="0"/>
        <v>8.6499760000000006</v>
      </c>
      <c r="D5" s="245" t="s">
        <v>135</v>
      </c>
      <c r="E5" s="191">
        <v>8649976</v>
      </c>
    </row>
    <row r="6" spans="1:6" ht="14" x14ac:dyDescent="0.15">
      <c r="A6" s="242" t="str">
        <f t="shared" si="1"/>
        <v>2018-12</v>
      </c>
      <c r="B6" s="188">
        <f t="shared" si="0"/>
        <v>7.5141080000000002</v>
      </c>
      <c r="D6" s="245" t="s">
        <v>136</v>
      </c>
      <c r="E6" s="191">
        <v>7514108</v>
      </c>
    </row>
    <row r="7" spans="1:6" ht="14" x14ac:dyDescent="0.15">
      <c r="A7" s="242" t="str">
        <f t="shared" si="1"/>
        <v>2019-01</v>
      </c>
      <c r="B7" s="188">
        <f t="shared" si="0"/>
        <v>7.5497610000000002</v>
      </c>
      <c r="D7" s="245" t="s">
        <v>137</v>
      </c>
      <c r="E7" s="191">
        <v>7549761</v>
      </c>
    </row>
    <row r="8" spans="1:6" ht="14" x14ac:dyDescent="0.15">
      <c r="A8" s="242" t="str">
        <f t="shared" si="1"/>
        <v>2019-02</v>
      </c>
      <c r="B8" s="188">
        <f t="shared" si="0"/>
        <v>7.3419439999999998</v>
      </c>
      <c r="D8" s="245" t="s">
        <v>138</v>
      </c>
      <c r="E8" s="191">
        <v>7341944</v>
      </c>
    </row>
    <row r="9" spans="1:6" ht="14" x14ac:dyDescent="0.15">
      <c r="A9" s="242" t="str">
        <f t="shared" si="1"/>
        <v>2019-03</v>
      </c>
      <c r="B9" s="188">
        <f t="shared" si="0"/>
        <v>7.8520349999999999</v>
      </c>
      <c r="D9" s="245" t="s">
        <v>139</v>
      </c>
      <c r="E9" s="191">
        <v>7852035</v>
      </c>
    </row>
    <row r="10" spans="1:6" ht="14" x14ac:dyDescent="0.15">
      <c r="A10" s="242" t="str">
        <f t="shared" si="1"/>
        <v>2019-04</v>
      </c>
      <c r="B10" s="188">
        <f t="shared" si="0"/>
        <v>7.7477859999999996</v>
      </c>
      <c r="D10" s="245" t="s">
        <v>140</v>
      </c>
      <c r="E10" s="191">
        <v>7747786</v>
      </c>
    </row>
    <row r="11" spans="1:6" ht="14" x14ac:dyDescent="0.15">
      <c r="A11" s="242" t="str">
        <f t="shared" si="1"/>
        <v>2019-05</v>
      </c>
      <c r="B11" s="188">
        <f t="shared" si="0"/>
        <v>8.3684419999999999</v>
      </c>
      <c r="D11" s="245" t="s">
        <v>141</v>
      </c>
      <c r="E11" s="191">
        <v>8368442</v>
      </c>
    </row>
    <row r="12" spans="1:6" ht="14" x14ac:dyDescent="0.15">
      <c r="A12" s="242" t="str">
        <f t="shared" si="1"/>
        <v>2019-06</v>
      </c>
      <c r="B12" s="188">
        <f t="shared" si="0"/>
        <v>7.0777169999999998</v>
      </c>
      <c r="D12" s="245" t="s">
        <v>142</v>
      </c>
      <c r="E12" s="191">
        <v>7077717</v>
      </c>
    </row>
    <row r="13" spans="1:6" ht="14" x14ac:dyDescent="0.15">
      <c r="A13" s="242" t="str">
        <f t="shared" si="1"/>
        <v>2019-07</v>
      </c>
      <c r="B13" s="188">
        <f t="shared" si="0"/>
        <v>5.8582049999999999</v>
      </c>
      <c r="D13" s="245" t="s">
        <v>143</v>
      </c>
      <c r="E13" s="191">
        <v>5858205</v>
      </c>
    </row>
    <row r="14" spans="1:6" ht="14" x14ac:dyDescent="0.15">
      <c r="A14" s="242" t="str">
        <f t="shared" si="1"/>
        <v>2019-08</v>
      </c>
      <c r="B14" s="188">
        <f t="shared" si="0"/>
        <v>6.7282520000000003</v>
      </c>
      <c r="D14" s="245" t="s">
        <v>144</v>
      </c>
      <c r="E14" s="191">
        <v>6728252</v>
      </c>
    </row>
    <row r="15" spans="1:6" ht="14" x14ac:dyDescent="0.15">
      <c r="A15" s="242" t="str">
        <f t="shared" si="1"/>
        <v>2019-09</v>
      </c>
      <c r="B15" s="188">
        <f t="shared" si="0"/>
        <v>6.1033840000000001</v>
      </c>
      <c r="D15" s="245" t="s">
        <v>145</v>
      </c>
      <c r="E15" s="191">
        <v>6103384</v>
      </c>
    </row>
    <row r="16" spans="1:6" x14ac:dyDescent="0.15">
      <c r="A16" s="243" t="s">
        <v>17</v>
      </c>
      <c r="B16" s="188">
        <f>SUM(B4:B15)</f>
        <v>90.093598999999983</v>
      </c>
      <c r="D16" s="243" t="s">
        <v>17</v>
      </c>
      <c r="E16" s="244">
        <f>SUM(E4:E15)</f>
        <v>90093599</v>
      </c>
    </row>
    <row r="17" spans="1:5" x14ac:dyDescent="0.15">
      <c r="A17" s="207" t="s">
        <v>31</v>
      </c>
      <c r="B17" s="187">
        <f>AVERAGE(B4:B15)</f>
        <v>7.5077999166666656</v>
      </c>
      <c r="D17" s="78" t="s">
        <v>165</v>
      </c>
    </row>
    <row r="18" spans="1:5" x14ac:dyDescent="0.15">
      <c r="A18" s="246" t="s">
        <v>146</v>
      </c>
      <c r="B18" s="247">
        <v>134.37852100000001</v>
      </c>
    </row>
    <row r="20" spans="1:5" x14ac:dyDescent="0.15">
      <c r="A20" s="78" t="s">
        <v>32</v>
      </c>
      <c r="B20" s="197"/>
      <c r="C20" s="73"/>
      <c r="D20" s="73"/>
      <c r="E20" s="73"/>
    </row>
    <row r="21" spans="1:5" x14ac:dyDescent="0.15">
      <c r="A21" s="198" t="s">
        <v>18</v>
      </c>
      <c r="B21" s="199" t="s">
        <v>88</v>
      </c>
      <c r="C21" s="85"/>
      <c r="D21" s="85"/>
      <c r="E21" s="85"/>
    </row>
    <row r="22" spans="1:5" x14ac:dyDescent="0.15">
      <c r="A22" s="200">
        <v>43374</v>
      </c>
      <c r="B22" s="206">
        <f t="shared" ref="B22:B33" si="2">B4-B$17</f>
        <v>1.7941890833333352</v>
      </c>
      <c r="C22" s="86"/>
      <c r="D22" s="86"/>
    </row>
    <row r="23" spans="1:5" x14ac:dyDescent="0.15">
      <c r="A23" s="200">
        <v>43405</v>
      </c>
      <c r="B23" s="206">
        <f t="shared" si="2"/>
        <v>1.142176083333335</v>
      </c>
    </row>
    <row r="24" spans="1:5" x14ac:dyDescent="0.15">
      <c r="A24" s="200">
        <v>43435</v>
      </c>
      <c r="B24" s="206">
        <f t="shared" si="2"/>
        <v>6.3080833333346575E-3</v>
      </c>
    </row>
    <row r="25" spans="1:5" x14ac:dyDescent="0.15">
      <c r="A25" s="200">
        <v>43466</v>
      </c>
      <c r="B25" s="206">
        <f t="shared" si="2"/>
        <v>4.1961083333334592E-2</v>
      </c>
    </row>
    <row r="26" spans="1:5" x14ac:dyDescent="0.15">
      <c r="A26" s="200">
        <v>43497</v>
      </c>
      <c r="B26" s="206">
        <f t="shared" si="2"/>
        <v>-0.16585591666666577</v>
      </c>
    </row>
    <row r="27" spans="1:5" x14ac:dyDescent="0.15">
      <c r="A27" s="200">
        <v>43525</v>
      </c>
      <c r="B27" s="206">
        <f t="shared" si="2"/>
        <v>0.3442350833333343</v>
      </c>
    </row>
    <row r="28" spans="1:5" x14ac:dyDescent="0.15">
      <c r="A28" s="200">
        <v>43556</v>
      </c>
      <c r="B28" s="206">
        <f t="shared" si="2"/>
        <v>0.23998608333333404</v>
      </c>
    </row>
    <row r="29" spans="1:5" x14ac:dyDescent="0.15">
      <c r="A29" s="200">
        <v>43586</v>
      </c>
      <c r="B29" s="206">
        <f t="shared" si="2"/>
        <v>0.86064208333333436</v>
      </c>
    </row>
    <row r="30" spans="1:5" x14ac:dyDescent="0.15">
      <c r="A30" s="200">
        <v>43617</v>
      </c>
      <c r="B30" s="206">
        <f t="shared" si="2"/>
        <v>-0.43008291666666576</v>
      </c>
    </row>
    <row r="31" spans="1:5" x14ac:dyDescent="0.15">
      <c r="A31" s="200">
        <v>43647</v>
      </c>
      <c r="B31" s="206">
        <f t="shared" si="2"/>
        <v>-1.6495949166666657</v>
      </c>
    </row>
    <row r="32" spans="1:5" x14ac:dyDescent="0.15">
      <c r="A32" s="200">
        <v>43678</v>
      </c>
      <c r="B32" s="206">
        <f t="shared" si="2"/>
        <v>-0.77954791666666523</v>
      </c>
    </row>
    <row r="33" spans="1:5" x14ac:dyDescent="0.15">
      <c r="A33" s="200">
        <v>43709</v>
      </c>
      <c r="B33" s="206">
        <f t="shared" si="2"/>
        <v>-1.4044159166666654</v>
      </c>
    </row>
    <row r="34" spans="1:5" x14ac:dyDescent="0.15">
      <c r="A34" s="198" t="s">
        <v>13</v>
      </c>
      <c r="B34" s="210">
        <f>SUM(B22:B33)</f>
        <v>1.4210854715202004E-14</v>
      </c>
    </row>
    <row r="35" spans="1:5" x14ac:dyDescent="0.15">
      <c r="B35" s="87"/>
      <c r="C35" s="87"/>
      <c r="D35" s="87"/>
      <c r="E35" s="87"/>
    </row>
    <row r="36" spans="1:5" x14ac:dyDescent="0.15">
      <c r="A36" s="78" t="s">
        <v>33</v>
      </c>
      <c r="B36" s="197"/>
      <c r="C36" s="73"/>
      <c r="D36" s="73"/>
      <c r="E36" s="73"/>
    </row>
    <row r="37" spans="1:5" x14ac:dyDescent="0.15">
      <c r="A37" s="198" t="s">
        <v>18</v>
      </c>
      <c r="B37" s="199" t="s">
        <v>88</v>
      </c>
      <c r="C37" s="85"/>
      <c r="D37" s="85"/>
      <c r="E37" s="85"/>
    </row>
    <row r="38" spans="1:5" x14ac:dyDescent="0.15">
      <c r="A38" s="200">
        <f>A22</f>
        <v>43374</v>
      </c>
      <c r="B38" s="206">
        <f>B4-B3</f>
        <v>1.2247409999999999</v>
      </c>
    </row>
    <row r="39" spans="1:5" x14ac:dyDescent="0.15">
      <c r="A39" s="200">
        <f t="shared" ref="A39:A49" si="3">A23</f>
        <v>43405</v>
      </c>
      <c r="B39" s="206">
        <f>B5-B4</f>
        <v>-0.65201300000000018</v>
      </c>
      <c r="C39" s="88"/>
    </row>
    <row r="40" spans="1:5" x14ac:dyDescent="0.15">
      <c r="A40" s="200">
        <f t="shared" si="3"/>
        <v>43435</v>
      </c>
      <c r="B40" s="206">
        <f t="shared" ref="B40:B49" si="4">B6-B5</f>
        <v>-1.1358680000000003</v>
      </c>
      <c r="C40" s="88"/>
    </row>
    <row r="41" spans="1:5" x14ac:dyDescent="0.15">
      <c r="A41" s="200">
        <f t="shared" si="3"/>
        <v>43466</v>
      </c>
      <c r="B41" s="206">
        <f t="shared" si="4"/>
        <v>3.5652999999999935E-2</v>
      </c>
      <c r="C41" s="88"/>
    </row>
    <row r="42" spans="1:5" x14ac:dyDescent="0.15">
      <c r="A42" s="200">
        <f t="shared" si="3"/>
        <v>43497</v>
      </c>
      <c r="B42" s="206">
        <f t="shared" si="4"/>
        <v>-0.20781700000000036</v>
      </c>
      <c r="C42" s="88"/>
    </row>
    <row r="43" spans="1:5" x14ac:dyDescent="0.15">
      <c r="A43" s="200">
        <f t="shared" si="3"/>
        <v>43525</v>
      </c>
      <c r="B43" s="206">
        <f t="shared" si="4"/>
        <v>0.51009100000000007</v>
      </c>
      <c r="C43" s="88"/>
    </row>
    <row r="44" spans="1:5" x14ac:dyDescent="0.15">
      <c r="A44" s="200">
        <f t="shared" si="3"/>
        <v>43556</v>
      </c>
      <c r="B44" s="206">
        <f t="shared" si="4"/>
        <v>-0.10424900000000026</v>
      </c>
      <c r="C44" s="88"/>
    </row>
    <row r="45" spans="1:5" x14ac:dyDescent="0.15">
      <c r="A45" s="200">
        <f t="shared" si="3"/>
        <v>43586</v>
      </c>
      <c r="B45" s="206">
        <f t="shared" si="4"/>
        <v>0.62065600000000032</v>
      </c>
      <c r="C45" s="88"/>
    </row>
    <row r="46" spans="1:5" x14ac:dyDescent="0.15">
      <c r="A46" s="200">
        <f t="shared" si="3"/>
        <v>43617</v>
      </c>
      <c r="B46" s="206">
        <f t="shared" si="4"/>
        <v>-1.2907250000000001</v>
      </c>
      <c r="C46" s="88"/>
    </row>
    <row r="47" spans="1:5" x14ac:dyDescent="0.15">
      <c r="A47" s="200">
        <f t="shared" si="3"/>
        <v>43647</v>
      </c>
      <c r="B47" s="206">
        <f t="shared" si="4"/>
        <v>-1.2195119999999999</v>
      </c>
      <c r="C47" s="88"/>
    </row>
    <row r="48" spans="1:5" x14ac:dyDescent="0.15">
      <c r="A48" s="200">
        <f t="shared" si="3"/>
        <v>43678</v>
      </c>
      <c r="B48" s="206">
        <f t="shared" si="4"/>
        <v>0.87004700000000046</v>
      </c>
      <c r="C48" s="88"/>
    </row>
    <row r="49" spans="1:9" x14ac:dyDescent="0.15">
      <c r="A49" s="200">
        <f t="shared" si="3"/>
        <v>43709</v>
      </c>
      <c r="B49" s="206">
        <f t="shared" si="4"/>
        <v>-0.6248680000000002</v>
      </c>
      <c r="C49" s="88"/>
      <c r="F49" s="88"/>
    </row>
    <row r="50" spans="1:9" x14ac:dyDescent="0.15">
      <c r="A50" s="198" t="s">
        <v>13</v>
      </c>
      <c r="B50" s="206">
        <f>SUM(B38:B49)</f>
        <v>-1.9738640000000007</v>
      </c>
      <c r="F50" s="88"/>
    </row>
    <row r="54" spans="1:9" x14ac:dyDescent="0.15">
      <c r="A54" s="77" t="s">
        <v>35</v>
      </c>
    </row>
    <row r="55" spans="1:9" ht="14" x14ac:dyDescent="0.15">
      <c r="A55" s="241" t="s">
        <v>25</v>
      </c>
      <c r="B55" s="199" t="s">
        <v>88</v>
      </c>
      <c r="D55" s="79" t="s">
        <v>36</v>
      </c>
      <c r="E55" s="80" t="s">
        <v>88</v>
      </c>
    </row>
    <row r="56" spans="1:9" ht="14" x14ac:dyDescent="0.15">
      <c r="A56" s="242" t="str">
        <f>D56</f>
        <v>2018-09</v>
      </c>
      <c r="B56" s="188">
        <f t="shared" ref="B56:B68" si="5">E56/1024</f>
        <v>98.2608651568179</v>
      </c>
      <c r="D56" s="240" t="str">
        <f>D3</f>
        <v>2018-09</v>
      </c>
      <c r="E56" s="192">
        <v>100619.12592058153</v>
      </c>
      <c r="F56" s="130" t="s">
        <v>104</v>
      </c>
    </row>
    <row r="57" spans="1:9" ht="14" x14ac:dyDescent="0.15">
      <c r="A57" s="242" t="str">
        <f t="shared" ref="A57:A68" si="6">D57</f>
        <v>2018-10</v>
      </c>
      <c r="B57" s="188">
        <f t="shared" si="5"/>
        <v>91.860685735364214</v>
      </c>
      <c r="D57" s="240" t="str">
        <f t="shared" ref="D57:D68" si="7">D4</f>
        <v>2018-10</v>
      </c>
      <c r="E57" s="192">
        <v>94065.342193012955</v>
      </c>
    </row>
    <row r="58" spans="1:9" ht="14" x14ac:dyDescent="0.15">
      <c r="A58" s="242" t="str">
        <f t="shared" si="6"/>
        <v>2018-11</v>
      </c>
      <c r="B58" s="188">
        <f t="shared" si="5"/>
        <v>65.560087957092776</v>
      </c>
      <c r="D58" s="240" t="str">
        <f t="shared" si="7"/>
        <v>2018-11</v>
      </c>
      <c r="E58" s="192">
        <v>67133.530068063003</v>
      </c>
    </row>
    <row r="59" spans="1:9" ht="14" x14ac:dyDescent="0.15">
      <c r="A59" s="242" t="str">
        <f t="shared" si="6"/>
        <v>2018-12</v>
      </c>
      <c r="B59" s="188">
        <f t="shared" si="5"/>
        <v>45.787428173965878</v>
      </c>
      <c r="D59" s="240" t="str">
        <f t="shared" si="7"/>
        <v>2018-12</v>
      </c>
      <c r="E59" s="192">
        <v>46886.326450141059</v>
      </c>
      <c r="I59" s="82" t="s">
        <v>89</v>
      </c>
    </row>
    <row r="60" spans="1:9" ht="14" x14ac:dyDescent="0.15">
      <c r="A60" s="242" t="str">
        <f t="shared" si="6"/>
        <v>2019-01</v>
      </c>
      <c r="B60" s="188">
        <f t="shared" si="5"/>
        <v>55.967842565536536</v>
      </c>
      <c r="D60" s="240" t="str">
        <f t="shared" si="7"/>
        <v>2019-01</v>
      </c>
      <c r="E60" s="192">
        <v>57311.070787109413</v>
      </c>
    </row>
    <row r="61" spans="1:9" ht="14" x14ac:dyDescent="0.15">
      <c r="A61" s="242" t="str">
        <f t="shared" si="6"/>
        <v>2019-02</v>
      </c>
      <c r="B61" s="188">
        <f t="shared" si="5"/>
        <v>59.12771461176623</v>
      </c>
      <c r="D61" s="240" t="str">
        <f t="shared" si="7"/>
        <v>2019-02</v>
      </c>
      <c r="E61" s="192">
        <v>60546.779762448619</v>
      </c>
    </row>
    <row r="62" spans="1:9" ht="14" x14ac:dyDescent="0.15">
      <c r="A62" s="242" t="str">
        <f t="shared" si="6"/>
        <v>2019-03</v>
      </c>
      <c r="B62" s="188">
        <f t="shared" si="5"/>
        <v>71.578163851112535</v>
      </c>
      <c r="D62" s="240" t="str">
        <f t="shared" si="7"/>
        <v>2019-03</v>
      </c>
      <c r="E62" s="192">
        <v>73296.039783539236</v>
      </c>
    </row>
    <row r="63" spans="1:9" ht="14" x14ac:dyDescent="0.15">
      <c r="A63" s="242" t="str">
        <f t="shared" si="6"/>
        <v>2019-04</v>
      </c>
      <c r="B63" s="188">
        <f t="shared" si="5"/>
        <v>71.96003061423373</v>
      </c>
      <c r="D63" s="240" t="str">
        <f t="shared" si="7"/>
        <v>2019-04</v>
      </c>
      <c r="E63" s="192">
        <v>73687.07134897534</v>
      </c>
    </row>
    <row r="64" spans="1:9" ht="14" x14ac:dyDescent="0.15">
      <c r="A64" s="242" t="str">
        <f t="shared" si="6"/>
        <v>2019-05</v>
      </c>
      <c r="B64" s="188">
        <f t="shared" si="5"/>
        <v>73.715361597014578</v>
      </c>
      <c r="D64" s="240" t="str">
        <f t="shared" si="7"/>
        <v>2019-05</v>
      </c>
      <c r="E64" s="192">
        <v>75484.530275342928</v>
      </c>
    </row>
    <row r="65" spans="1:5" ht="14" x14ac:dyDescent="0.15">
      <c r="A65" s="242" t="str">
        <f t="shared" si="6"/>
        <v>2019-06</v>
      </c>
      <c r="B65" s="188">
        <f t="shared" si="5"/>
        <v>74.863558418655785</v>
      </c>
      <c r="D65" s="240" t="str">
        <f t="shared" si="7"/>
        <v>2019-06</v>
      </c>
      <c r="E65" s="192">
        <v>76660.283820703524</v>
      </c>
    </row>
    <row r="66" spans="1:5" ht="14" x14ac:dyDescent="0.15">
      <c r="A66" s="242" t="str">
        <f t="shared" si="6"/>
        <v>2019-07</v>
      </c>
      <c r="B66" s="188">
        <f t="shared" si="5"/>
        <v>76.891132765099329</v>
      </c>
      <c r="D66" s="240" t="str">
        <f t="shared" si="7"/>
        <v>2019-07</v>
      </c>
      <c r="E66" s="192">
        <v>78736.519951461712</v>
      </c>
    </row>
    <row r="67" spans="1:5" ht="14" x14ac:dyDescent="0.15">
      <c r="A67" s="242" t="str">
        <f t="shared" si="6"/>
        <v>2019-08</v>
      </c>
      <c r="B67" s="188">
        <f t="shared" si="5"/>
        <v>75.717826219577518</v>
      </c>
      <c r="D67" s="240" t="str">
        <f t="shared" si="7"/>
        <v>2019-08</v>
      </c>
      <c r="E67" s="192">
        <v>77535.054048847378</v>
      </c>
    </row>
    <row r="68" spans="1:5" ht="14" x14ac:dyDescent="0.15">
      <c r="A68" s="242" t="str">
        <f t="shared" si="6"/>
        <v>2019-09</v>
      </c>
      <c r="B68" s="188">
        <f t="shared" si="5"/>
        <v>79.359545267992729</v>
      </c>
      <c r="D68" s="240" t="str">
        <f t="shared" si="7"/>
        <v>2019-09</v>
      </c>
      <c r="E68" s="192">
        <v>81264.174354424555</v>
      </c>
    </row>
    <row r="69" spans="1:5" x14ac:dyDescent="0.15">
      <c r="A69" s="272" t="s">
        <v>130</v>
      </c>
      <c r="B69" s="188">
        <f>SUM(B57:B68)</f>
        <v>842.38937777741182</v>
      </c>
      <c r="D69" s="248" t="s">
        <v>17</v>
      </c>
      <c r="E69" s="188">
        <f>SUM(E57:E68)</f>
        <v>862606.72284406971</v>
      </c>
    </row>
    <row r="70" spans="1:5" x14ac:dyDescent="0.15">
      <c r="A70" s="78" t="s">
        <v>31</v>
      </c>
      <c r="B70" s="81">
        <f>AVERAGE(B57:B68)</f>
        <v>70.199114814784323</v>
      </c>
      <c r="D70" s="78" t="s">
        <v>165</v>
      </c>
    </row>
    <row r="71" spans="1:5" x14ac:dyDescent="0.15">
      <c r="A71" s="246" t="s">
        <v>146</v>
      </c>
      <c r="B71" s="247">
        <v>874.06199730241644</v>
      </c>
    </row>
    <row r="73" spans="1:5" x14ac:dyDescent="0.15">
      <c r="A73" s="78" t="s">
        <v>32</v>
      </c>
      <c r="B73" s="197"/>
      <c r="C73" s="73"/>
      <c r="D73" s="73"/>
      <c r="E73" s="73"/>
    </row>
    <row r="74" spans="1:5" x14ac:dyDescent="0.15">
      <c r="A74" s="198" t="s">
        <v>18</v>
      </c>
      <c r="B74" s="199" t="s">
        <v>88</v>
      </c>
      <c r="C74" s="85"/>
      <c r="D74" s="85"/>
      <c r="E74" s="85"/>
    </row>
    <row r="75" spans="1:5" x14ac:dyDescent="0.15">
      <c r="A75" s="200">
        <f>A38</f>
        <v>43374</v>
      </c>
      <c r="B75" s="206">
        <f>B57-B$70</f>
        <v>21.661570920579891</v>
      </c>
      <c r="C75" s="86"/>
      <c r="D75" s="86"/>
    </row>
    <row r="76" spans="1:5" x14ac:dyDescent="0.15">
      <c r="A76" s="200">
        <f t="shared" ref="A76:A86" si="8">A39</f>
        <v>43405</v>
      </c>
      <c r="B76" s="206">
        <f t="shared" ref="B76:B86" si="9">B58-B$70</f>
        <v>-4.6390268576915474</v>
      </c>
    </row>
    <row r="77" spans="1:5" x14ac:dyDescent="0.15">
      <c r="A77" s="200">
        <f t="shared" si="8"/>
        <v>43435</v>
      </c>
      <c r="B77" s="206">
        <f t="shared" si="9"/>
        <v>-24.411686640818445</v>
      </c>
    </row>
    <row r="78" spans="1:5" x14ac:dyDescent="0.15">
      <c r="A78" s="200">
        <f t="shared" si="8"/>
        <v>43466</v>
      </c>
      <c r="B78" s="206">
        <f t="shared" si="9"/>
        <v>-14.231272249247787</v>
      </c>
    </row>
    <row r="79" spans="1:5" x14ac:dyDescent="0.15">
      <c r="A79" s="200">
        <f t="shared" si="8"/>
        <v>43497</v>
      </c>
      <c r="B79" s="206">
        <f t="shared" si="9"/>
        <v>-11.071400203018094</v>
      </c>
    </row>
    <row r="80" spans="1:5" x14ac:dyDescent="0.15">
      <c r="A80" s="200">
        <f t="shared" si="8"/>
        <v>43525</v>
      </c>
      <c r="B80" s="206">
        <f t="shared" si="9"/>
        <v>1.3790490363282117</v>
      </c>
    </row>
    <row r="81" spans="1:5" x14ac:dyDescent="0.15">
      <c r="A81" s="200">
        <f t="shared" si="8"/>
        <v>43556</v>
      </c>
      <c r="B81" s="206">
        <f t="shared" si="9"/>
        <v>1.7609157994494069</v>
      </c>
    </row>
    <row r="82" spans="1:5" x14ac:dyDescent="0.15">
      <c r="A82" s="200">
        <f t="shared" si="8"/>
        <v>43586</v>
      </c>
      <c r="B82" s="206">
        <f t="shared" si="9"/>
        <v>3.5162467822302546</v>
      </c>
    </row>
    <row r="83" spans="1:5" x14ac:dyDescent="0.15">
      <c r="A83" s="200">
        <f t="shared" si="8"/>
        <v>43617</v>
      </c>
      <c r="B83" s="206">
        <f t="shared" si="9"/>
        <v>4.6644436038714616</v>
      </c>
    </row>
    <row r="84" spans="1:5" x14ac:dyDescent="0.15">
      <c r="A84" s="200">
        <f t="shared" si="8"/>
        <v>43647</v>
      </c>
      <c r="B84" s="206">
        <f t="shared" si="9"/>
        <v>6.6920179503150052</v>
      </c>
    </row>
    <row r="85" spans="1:5" x14ac:dyDescent="0.15">
      <c r="A85" s="200">
        <f t="shared" si="8"/>
        <v>43678</v>
      </c>
      <c r="B85" s="206">
        <f t="shared" si="9"/>
        <v>5.5187114047931942</v>
      </c>
    </row>
    <row r="86" spans="1:5" x14ac:dyDescent="0.15">
      <c r="A86" s="200">
        <f t="shared" si="8"/>
        <v>43709</v>
      </c>
      <c r="B86" s="206">
        <f t="shared" si="9"/>
        <v>9.1604304532084058</v>
      </c>
    </row>
    <row r="87" spans="1:5" x14ac:dyDescent="0.15">
      <c r="A87" s="198" t="s">
        <v>13</v>
      </c>
      <c r="B87" s="210">
        <f>SUM(B75:B86)</f>
        <v>-4.2632564145606011E-14</v>
      </c>
    </row>
    <row r="88" spans="1:5" x14ac:dyDescent="0.15">
      <c r="B88" s="87"/>
      <c r="C88" s="87"/>
      <c r="D88" s="87"/>
      <c r="E88" s="87"/>
    </row>
    <row r="89" spans="1:5" x14ac:dyDescent="0.15">
      <c r="A89" s="78" t="s">
        <v>33</v>
      </c>
      <c r="B89" s="83"/>
      <c r="C89" s="73"/>
      <c r="D89" s="73"/>
      <c r="E89" s="73"/>
    </row>
    <row r="90" spans="1:5" x14ac:dyDescent="0.15">
      <c r="A90" s="207" t="s">
        <v>18</v>
      </c>
      <c r="B90" s="199" t="s">
        <v>88</v>
      </c>
      <c r="C90" s="84"/>
      <c r="D90" s="85"/>
      <c r="E90" s="85"/>
    </row>
    <row r="91" spans="1:5" x14ac:dyDescent="0.15">
      <c r="A91" s="208">
        <f>A75</f>
        <v>43374</v>
      </c>
      <c r="B91" s="189">
        <f>B57-B56</f>
        <v>-6.4001794214536858</v>
      </c>
    </row>
    <row r="92" spans="1:5" x14ac:dyDescent="0.15">
      <c r="A92" s="208">
        <f t="shared" ref="A92:A102" si="10">A76</f>
        <v>43405</v>
      </c>
      <c r="B92" s="189">
        <f>B58-B57</f>
        <v>-26.300597778271438</v>
      </c>
      <c r="C92" s="88"/>
    </row>
    <row r="93" spans="1:5" x14ac:dyDescent="0.15">
      <c r="A93" s="208">
        <f t="shared" si="10"/>
        <v>43435</v>
      </c>
      <c r="B93" s="189">
        <f t="shared" ref="B93:B102" si="11">B59-B58</f>
        <v>-19.772659783126898</v>
      </c>
      <c r="C93" s="88"/>
    </row>
    <row r="94" spans="1:5" x14ac:dyDescent="0.15">
      <c r="A94" s="208">
        <f t="shared" si="10"/>
        <v>43466</v>
      </c>
      <c r="B94" s="189">
        <f t="shared" si="11"/>
        <v>10.180414391570658</v>
      </c>
      <c r="C94" s="88"/>
    </row>
    <row r="95" spans="1:5" x14ac:dyDescent="0.15">
      <c r="A95" s="208">
        <f t="shared" si="10"/>
        <v>43497</v>
      </c>
      <c r="B95" s="189">
        <f t="shared" si="11"/>
        <v>3.1598720462296939</v>
      </c>
      <c r="C95" s="88"/>
    </row>
    <row r="96" spans="1:5" x14ac:dyDescent="0.15">
      <c r="A96" s="208">
        <f t="shared" si="10"/>
        <v>43525</v>
      </c>
      <c r="B96" s="189">
        <f t="shared" si="11"/>
        <v>12.450449239346305</v>
      </c>
      <c r="C96" s="88"/>
    </row>
    <row r="97" spans="1:4" x14ac:dyDescent="0.15">
      <c r="A97" s="208">
        <f t="shared" si="10"/>
        <v>43556</v>
      </c>
      <c r="B97" s="189">
        <f t="shared" si="11"/>
        <v>0.38186676312119516</v>
      </c>
      <c r="C97" s="88"/>
    </row>
    <row r="98" spans="1:4" x14ac:dyDescent="0.15">
      <c r="A98" s="208">
        <f t="shared" si="10"/>
        <v>43586</v>
      </c>
      <c r="B98" s="189">
        <f t="shared" si="11"/>
        <v>1.7553309827808476</v>
      </c>
      <c r="C98" s="88"/>
    </row>
    <row r="99" spans="1:4" x14ac:dyDescent="0.15">
      <c r="A99" s="208">
        <f t="shared" si="10"/>
        <v>43617</v>
      </c>
      <c r="B99" s="189">
        <f t="shared" si="11"/>
        <v>1.1481968216412071</v>
      </c>
      <c r="C99" s="88"/>
    </row>
    <row r="100" spans="1:4" x14ac:dyDescent="0.15">
      <c r="A100" s="208">
        <f t="shared" si="10"/>
        <v>43647</v>
      </c>
      <c r="B100" s="189">
        <f t="shared" si="11"/>
        <v>2.0275743464435436</v>
      </c>
      <c r="C100" s="88"/>
    </row>
    <row r="101" spans="1:4" x14ac:dyDescent="0.15">
      <c r="A101" s="208">
        <f t="shared" si="10"/>
        <v>43678</v>
      </c>
      <c r="B101" s="189">
        <f t="shared" si="11"/>
        <v>-1.173306545521811</v>
      </c>
      <c r="C101" s="88"/>
    </row>
    <row r="102" spans="1:4" x14ac:dyDescent="0.15">
      <c r="A102" s="208">
        <f t="shared" si="10"/>
        <v>43709</v>
      </c>
      <c r="B102" s="189">
        <f t="shared" si="11"/>
        <v>3.6417190484152115</v>
      </c>
      <c r="C102" s="88"/>
    </row>
    <row r="106" spans="1:4" x14ac:dyDescent="0.15">
      <c r="A106" s="77" t="s">
        <v>37</v>
      </c>
      <c r="D106" s="78" t="s">
        <v>102</v>
      </c>
    </row>
    <row r="107" spans="1:4" ht="14" x14ac:dyDescent="0.15">
      <c r="A107" s="79" t="s">
        <v>20</v>
      </c>
      <c r="B107" s="80" t="s">
        <v>88</v>
      </c>
      <c r="D107" s="78" t="s">
        <v>155</v>
      </c>
    </row>
    <row r="108" spans="1:4" ht="14" x14ac:dyDescent="0.15">
      <c r="A108" s="242" t="str">
        <f>A56</f>
        <v>2018-09</v>
      </c>
      <c r="B108" s="193">
        <v>320</v>
      </c>
      <c r="C108" s="130" t="s">
        <v>104</v>
      </c>
    </row>
    <row r="109" spans="1:4" ht="14" x14ac:dyDescent="0.15">
      <c r="A109" s="242" t="str">
        <f t="shared" ref="A109:A120" si="12">A57</f>
        <v>2018-10</v>
      </c>
      <c r="B109" s="193">
        <v>439</v>
      </c>
    </row>
    <row r="110" spans="1:4" ht="14" x14ac:dyDescent="0.15">
      <c r="A110" s="242" t="str">
        <f t="shared" si="12"/>
        <v>2018-11</v>
      </c>
      <c r="B110" s="194">
        <v>358</v>
      </c>
    </row>
    <row r="111" spans="1:4" ht="14" x14ac:dyDescent="0.15">
      <c r="A111" s="242" t="str">
        <f t="shared" si="12"/>
        <v>2018-12</v>
      </c>
      <c r="B111" s="194">
        <v>241</v>
      </c>
    </row>
    <row r="112" spans="1:4" ht="14" x14ac:dyDescent="0.15">
      <c r="A112" s="242" t="str">
        <f t="shared" si="12"/>
        <v>2019-01</v>
      </c>
      <c r="B112" s="194">
        <v>302</v>
      </c>
    </row>
    <row r="113" spans="1:5" ht="14" x14ac:dyDescent="0.15">
      <c r="A113" s="242" t="str">
        <f t="shared" si="12"/>
        <v>2019-02</v>
      </c>
      <c r="B113" s="194">
        <v>313</v>
      </c>
    </row>
    <row r="114" spans="1:5" ht="14" x14ac:dyDescent="0.15">
      <c r="A114" s="242" t="str">
        <f t="shared" si="12"/>
        <v>2019-03</v>
      </c>
      <c r="B114" s="194">
        <v>431</v>
      </c>
    </row>
    <row r="115" spans="1:5" ht="14" x14ac:dyDescent="0.15">
      <c r="A115" s="242" t="str">
        <f t="shared" si="12"/>
        <v>2019-04</v>
      </c>
      <c r="B115" s="194">
        <v>408</v>
      </c>
    </row>
    <row r="116" spans="1:5" ht="14" x14ac:dyDescent="0.15">
      <c r="A116" s="242" t="str">
        <f t="shared" si="12"/>
        <v>2019-05</v>
      </c>
      <c r="B116" s="194">
        <v>422</v>
      </c>
    </row>
    <row r="117" spans="1:5" ht="14" x14ac:dyDescent="0.15">
      <c r="A117" s="242" t="str">
        <f t="shared" si="12"/>
        <v>2019-06</v>
      </c>
      <c r="B117" s="194">
        <v>393</v>
      </c>
    </row>
    <row r="118" spans="1:5" ht="14" x14ac:dyDescent="0.15">
      <c r="A118" s="242" t="str">
        <f t="shared" si="12"/>
        <v>2019-07</v>
      </c>
      <c r="B118" s="194">
        <v>370</v>
      </c>
    </row>
    <row r="119" spans="1:5" ht="14" x14ac:dyDescent="0.15">
      <c r="A119" s="242" t="str">
        <f t="shared" si="12"/>
        <v>2019-08</v>
      </c>
      <c r="B119" s="194">
        <v>441</v>
      </c>
    </row>
    <row r="120" spans="1:5" ht="14" x14ac:dyDescent="0.15">
      <c r="A120" s="242" t="str">
        <f t="shared" si="12"/>
        <v>2019-09</v>
      </c>
      <c r="B120" s="194">
        <v>425</v>
      </c>
    </row>
    <row r="121" spans="1:5" x14ac:dyDescent="0.15">
      <c r="A121" s="272" t="s">
        <v>129</v>
      </c>
      <c r="B121" s="195">
        <f>SUM(B109:B120)</f>
        <v>4543</v>
      </c>
    </row>
    <row r="122" spans="1:5" x14ac:dyDescent="0.15">
      <c r="A122" s="78" t="s">
        <v>31</v>
      </c>
      <c r="B122" s="181">
        <f>AVERAGE(B109:B120)</f>
        <v>378.58333333333331</v>
      </c>
    </row>
    <row r="123" spans="1:5" x14ac:dyDescent="0.15">
      <c r="A123" s="246" t="s">
        <v>150</v>
      </c>
      <c r="B123" s="196">
        <v>3360</v>
      </c>
      <c r="C123" s="251">
        <f>(B123-B124)/B124</f>
        <v>0.43405889884763127</v>
      </c>
      <c r="D123" s="78" t="s">
        <v>103</v>
      </c>
    </row>
    <row r="124" spans="1:5" x14ac:dyDescent="0.15">
      <c r="A124" s="246" t="s">
        <v>109</v>
      </c>
      <c r="B124" s="196">
        <v>2343</v>
      </c>
      <c r="D124" s="78" t="s">
        <v>103</v>
      </c>
    </row>
    <row r="125" spans="1:5" x14ac:dyDescent="0.15">
      <c r="C125" s="73"/>
      <c r="D125" s="73"/>
      <c r="E125" s="73"/>
    </row>
    <row r="126" spans="1:5" x14ac:dyDescent="0.15">
      <c r="A126" s="77" t="s">
        <v>32</v>
      </c>
      <c r="B126" s="197"/>
      <c r="C126" s="85"/>
      <c r="D126" s="85"/>
      <c r="E126" s="85"/>
    </row>
    <row r="127" spans="1:5" x14ac:dyDescent="0.15">
      <c r="A127" s="198" t="s">
        <v>18</v>
      </c>
      <c r="B127" s="199" t="s">
        <v>88</v>
      </c>
      <c r="C127" s="86"/>
      <c r="D127" s="86"/>
    </row>
    <row r="128" spans="1:5" x14ac:dyDescent="0.15">
      <c r="A128" s="200">
        <f>A91</f>
        <v>43374</v>
      </c>
      <c r="B128" s="201">
        <f t="shared" ref="B128:B139" si="13">B109-B$122</f>
        <v>60.416666666666686</v>
      </c>
    </row>
    <row r="129" spans="1:5" x14ac:dyDescent="0.15">
      <c r="A129" s="200">
        <f t="shared" ref="A129:A139" si="14">A92</f>
        <v>43405</v>
      </c>
      <c r="B129" s="201">
        <f t="shared" si="13"/>
        <v>-20.583333333333314</v>
      </c>
    </row>
    <row r="130" spans="1:5" x14ac:dyDescent="0.15">
      <c r="A130" s="200">
        <f t="shared" si="14"/>
        <v>43435</v>
      </c>
      <c r="B130" s="201">
        <f t="shared" si="13"/>
        <v>-137.58333333333331</v>
      </c>
    </row>
    <row r="131" spans="1:5" x14ac:dyDescent="0.15">
      <c r="A131" s="200">
        <f t="shared" si="14"/>
        <v>43466</v>
      </c>
      <c r="B131" s="201">
        <f t="shared" si="13"/>
        <v>-76.583333333333314</v>
      </c>
    </row>
    <row r="132" spans="1:5" x14ac:dyDescent="0.15">
      <c r="A132" s="200">
        <f t="shared" si="14"/>
        <v>43497</v>
      </c>
      <c r="B132" s="201">
        <f t="shared" si="13"/>
        <v>-65.583333333333314</v>
      </c>
    </row>
    <row r="133" spans="1:5" x14ac:dyDescent="0.15">
      <c r="A133" s="200">
        <f t="shared" si="14"/>
        <v>43525</v>
      </c>
      <c r="B133" s="201">
        <f t="shared" si="13"/>
        <v>52.416666666666686</v>
      </c>
    </row>
    <row r="134" spans="1:5" x14ac:dyDescent="0.15">
      <c r="A134" s="200">
        <f t="shared" si="14"/>
        <v>43556</v>
      </c>
      <c r="B134" s="201">
        <f t="shared" si="13"/>
        <v>29.416666666666686</v>
      </c>
    </row>
    <row r="135" spans="1:5" x14ac:dyDescent="0.15">
      <c r="A135" s="200">
        <f t="shared" si="14"/>
        <v>43586</v>
      </c>
      <c r="B135" s="201">
        <f t="shared" si="13"/>
        <v>43.416666666666686</v>
      </c>
    </row>
    <row r="136" spans="1:5" x14ac:dyDescent="0.15">
      <c r="A136" s="200">
        <f t="shared" si="14"/>
        <v>43617</v>
      </c>
      <c r="B136" s="201">
        <f t="shared" si="13"/>
        <v>14.416666666666686</v>
      </c>
    </row>
    <row r="137" spans="1:5" x14ac:dyDescent="0.15">
      <c r="A137" s="200">
        <f t="shared" si="14"/>
        <v>43647</v>
      </c>
      <c r="B137" s="201">
        <f t="shared" si="13"/>
        <v>-8.5833333333333144</v>
      </c>
    </row>
    <row r="138" spans="1:5" x14ac:dyDescent="0.15">
      <c r="A138" s="200">
        <f t="shared" si="14"/>
        <v>43678</v>
      </c>
      <c r="B138" s="201">
        <f t="shared" si="13"/>
        <v>62.416666666666686</v>
      </c>
    </row>
    <row r="139" spans="1:5" x14ac:dyDescent="0.15">
      <c r="A139" s="200">
        <f t="shared" si="14"/>
        <v>43709</v>
      </c>
      <c r="B139" s="201">
        <f t="shared" si="13"/>
        <v>46.416666666666686</v>
      </c>
    </row>
    <row r="140" spans="1:5" x14ac:dyDescent="0.15">
      <c r="A140" s="198" t="s">
        <v>13</v>
      </c>
      <c r="B140" s="202">
        <f>SUM(B128:B139)</f>
        <v>2.2737367544323206E-13</v>
      </c>
      <c r="C140" s="87" t="s">
        <v>170</v>
      </c>
      <c r="D140" s="87"/>
      <c r="E140" s="87"/>
    </row>
    <row r="141" spans="1:5" x14ac:dyDescent="0.15">
      <c r="B141" s="87"/>
      <c r="C141" s="73"/>
      <c r="D141" s="73"/>
      <c r="E141" s="73"/>
    </row>
    <row r="142" spans="1:5" x14ac:dyDescent="0.15">
      <c r="A142" s="203" t="s">
        <v>33</v>
      </c>
      <c r="B142" s="204"/>
      <c r="C142" s="85"/>
      <c r="D142" s="85"/>
      <c r="E142" s="85"/>
    </row>
    <row r="143" spans="1:5" x14ac:dyDescent="0.15">
      <c r="A143" s="205" t="s">
        <v>18</v>
      </c>
      <c r="B143" s="199" t="s">
        <v>88</v>
      </c>
    </row>
    <row r="144" spans="1:5" x14ac:dyDescent="0.15">
      <c r="A144" s="200">
        <f>A128</f>
        <v>43374</v>
      </c>
      <c r="B144" s="206">
        <f>B109-B108</f>
        <v>119</v>
      </c>
      <c r="C144" s="88"/>
    </row>
    <row r="145" spans="1:5" x14ac:dyDescent="0.15">
      <c r="A145" s="200">
        <f t="shared" ref="A145:A155" si="15">A129</f>
        <v>43405</v>
      </c>
      <c r="B145" s="206">
        <f>B110-B109</f>
        <v>-81</v>
      </c>
      <c r="C145" s="88"/>
    </row>
    <row r="146" spans="1:5" x14ac:dyDescent="0.15">
      <c r="A146" s="200">
        <f t="shared" si="15"/>
        <v>43435</v>
      </c>
      <c r="B146" s="206">
        <f t="shared" ref="B146:B155" si="16">B111-B110</f>
        <v>-117</v>
      </c>
      <c r="C146" s="88"/>
    </row>
    <row r="147" spans="1:5" x14ac:dyDescent="0.15">
      <c r="A147" s="200">
        <f t="shared" si="15"/>
        <v>43466</v>
      </c>
      <c r="B147" s="206">
        <f t="shared" si="16"/>
        <v>61</v>
      </c>
      <c r="C147" s="88"/>
    </row>
    <row r="148" spans="1:5" x14ac:dyDescent="0.15">
      <c r="A148" s="200">
        <f t="shared" si="15"/>
        <v>43497</v>
      </c>
      <c r="B148" s="206">
        <f t="shared" si="16"/>
        <v>11</v>
      </c>
      <c r="C148" s="88"/>
    </row>
    <row r="149" spans="1:5" x14ac:dyDescent="0.15">
      <c r="A149" s="200">
        <f t="shared" si="15"/>
        <v>43525</v>
      </c>
      <c r="B149" s="206">
        <f t="shared" si="16"/>
        <v>118</v>
      </c>
      <c r="C149" s="88"/>
    </row>
    <row r="150" spans="1:5" x14ac:dyDescent="0.15">
      <c r="A150" s="200">
        <f t="shared" si="15"/>
        <v>43556</v>
      </c>
      <c r="B150" s="206">
        <f t="shared" si="16"/>
        <v>-23</v>
      </c>
      <c r="C150" s="88"/>
    </row>
    <row r="151" spans="1:5" x14ac:dyDescent="0.15">
      <c r="A151" s="200">
        <f t="shared" si="15"/>
        <v>43586</v>
      </c>
      <c r="B151" s="206">
        <f t="shared" si="16"/>
        <v>14</v>
      </c>
      <c r="C151" s="88"/>
    </row>
    <row r="152" spans="1:5" x14ac:dyDescent="0.15">
      <c r="A152" s="200">
        <f t="shared" si="15"/>
        <v>43617</v>
      </c>
      <c r="B152" s="206">
        <f t="shared" si="16"/>
        <v>-29</v>
      </c>
      <c r="C152" s="88"/>
    </row>
    <row r="153" spans="1:5" x14ac:dyDescent="0.15">
      <c r="A153" s="200">
        <f t="shared" si="15"/>
        <v>43647</v>
      </c>
      <c r="B153" s="206">
        <f t="shared" si="16"/>
        <v>-23</v>
      </c>
      <c r="C153" s="88"/>
    </row>
    <row r="154" spans="1:5" x14ac:dyDescent="0.15">
      <c r="A154" s="200">
        <f t="shared" si="15"/>
        <v>43678</v>
      </c>
      <c r="B154" s="206">
        <f t="shared" si="16"/>
        <v>71</v>
      </c>
      <c r="C154" s="88"/>
    </row>
    <row r="155" spans="1:5" ht="12.75" customHeight="1" x14ac:dyDescent="0.15">
      <c r="A155" s="200">
        <f t="shared" si="15"/>
        <v>43709</v>
      </c>
      <c r="B155" s="206">
        <f t="shared" si="16"/>
        <v>-16</v>
      </c>
    </row>
    <row r="157" spans="1:5" x14ac:dyDescent="0.15">
      <c r="C157" s="74"/>
      <c r="D157" s="89"/>
      <c r="E157" s="89"/>
    </row>
    <row r="158" spans="1:5" x14ac:dyDescent="0.15">
      <c r="A158" s="77" t="s">
        <v>90</v>
      </c>
      <c r="B158" s="74"/>
      <c r="C158" s="74"/>
      <c r="D158" s="90"/>
      <c r="E158" s="85"/>
    </row>
    <row r="159" spans="1:5" x14ac:dyDescent="0.15">
      <c r="A159" s="91" t="s">
        <v>49</v>
      </c>
      <c r="B159" s="92" t="s">
        <v>91</v>
      </c>
      <c r="C159" s="92" t="s">
        <v>92</v>
      </c>
      <c r="D159" s="81"/>
    </row>
    <row r="160" spans="1:5" x14ac:dyDescent="0.15">
      <c r="A160" s="93" t="s">
        <v>41</v>
      </c>
      <c r="B160" s="94">
        <f t="shared" ref="B160:B165" si="17">C160/52</f>
        <v>0</v>
      </c>
      <c r="C160" s="94"/>
      <c r="D160" s="81"/>
    </row>
    <row r="161" spans="1:8" ht="14" x14ac:dyDescent="0.15">
      <c r="A161" s="95" t="s">
        <v>42</v>
      </c>
      <c r="B161" s="94">
        <f t="shared" si="17"/>
        <v>0</v>
      </c>
      <c r="C161" s="94"/>
      <c r="D161" s="81"/>
    </row>
    <row r="162" spans="1:8" ht="14" x14ac:dyDescent="0.15">
      <c r="A162" s="258" t="s">
        <v>43</v>
      </c>
      <c r="B162" s="259">
        <f t="shared" si="17"/>
        <v>15.204008052518342</v>
      </c>
      <c r="C162" s="259">
        <v>790.60841873095376</v>
      </c>
      <c r="D162" s="81"/>
      <c r="G162"/>
      <c r="H162"/>
    </row>
    <row r="163" spans="1:8" ht="14" x14ac:dyDescent="0.15">
      <c r="A163" s="258" t="s">
        <v>44</v>
      </c>
      <c r="B163" s="259">
        <f t="shared" si="17"/>
        <v>15.701408315805288</v>
      </c>
      <c r="C163" s="259">
        <v>816.47323242187497</v>
      </c>
      <c r="D163" s="81"/>
    </row>
    <row r="164" spans="1:8" ht="14" x14ac:dyDescent="0.15">
      <c r="A164" s="258" t="s">
        <v>45</v>
      </c>
      <c r="B164" s="259">
        <f t="shared" si="17"/>
        <v>16.356479679987981</v>
      </c>
      <c r="C164" s="259">
        <v>850.53694335937496</v>
      </c>
      <c r="D164" s="81"/>
    </row>
    <row r="165" spans="1:8" ht="12.75" customHeight="1" x14ac:dyDescent="0.15">
      <c r="A165" s="258" t="s">
        <v>47</v>
      </c>
      <c r="B165" s="259">
        <f t="shared" si="17"/>
        <v>16.326743895168047</v>
      </c>
      <c r="C165" s="259">
        <v>848.9906825487385</v>
      </c>
    </row>
    <row r="166" spans="1:8" x14ac:dyDescent="0.15">
      <c r="A166" s="260" t="s">
        <v>79</v>
      </c>
      <c r="B166" s="259">
        <f>C166/52</f>
        <v>20.760576923076922</v>
      </c>
      <c r="C166" s="259">
        <v>1079.55</v>
      </c>
    </row>
    <row r="167" spans="1:8" x14ac:dyDescent="0.15">
      <c r="A167" s="260" t="s">
        <v>99</v>
      </c>
      <c r="B167" s="259">
        <f>C167/52</f>
        <v>21.101483846799091</v>
      </c>
      <c r="C167" s="259">
        <v>1097.2771600335527</v>
      </c>
    </row>
    <row r="168" spans="1:8" x14ac:dyDescent="0.15">
      <c r="A168" s="260" t="s">
        <v>107</v>
      </c>
      <c r="B168" s="259">
        <f>C168/52</f>
        <v>18.820522293356575</v>
      </c>
      <c r="C168" s="259">
        <v>978.66715925454184</v>
      </c>
    </row>
    <row r="169" spans="1:8" x14ac:dyDescent="0.15">
      <c r="A169" s="260" t="s">
        <v>149</v>
      </c>
      <c r="B169" s="259">
        <f>C169/52</f>
        <v>36.055543475983356</v>
      </c>
      <c r="C169" s="211">
        <v>1874.8882607511343</v>
      </c>
      <c r="D169" s="78" t="s">
        <v>131</v>
      </c>
    </row>
    <row r="170" spans="1:8" x14ac:dyDescent="0.15">
      <c r="A170"/>
      <c r="D170" s="96"/>
      <c r="E170" s="96"/>
    </row>
    <row r="171" spans="1:8" ht="14" x14ac:dyDescent="0.15">
      <c r="A171" s="97" t="s">
        <v>38</v>
      </c>
      <c r="B171" s="98" t="s">
        <v>88</v>
      </c>
      <c r="C171" s="99"/>
      <c r="D171"/>
      <c r="E171"/>
    </row>
    <row r="172" spans="1:8" ht="14" x14ac:dyDescent="0.15">
      <c r="A172" s="100" t="s">
        <v>41</v>
      </c>
      <c r="B172" s="101"/>
      <c r="C172"/>
      <c r="D172"/>
      <c r="E172"/>
    </row>
    <row r="173" spans="1:8" ht="14" x14ac:dyDescent="0.15">
      <c r="A173" s="100" t="s">
        <v>42</v>
      </c>
      <c r="B173" s="101"/>
      <c r="C173"/>
      <c r="D173"/>
      <c r="E173"/>
    </row>
    <row r="174" spans="1:8" ht="14" x14ac:dyDescent="0.15">
      <c r="A174" s="100" t="s">
        <v>43</v>
      </c>
      <c r="B174" s="101"/>
      <c r="C174"/>
      <c r="D174"/>
      <c r="E174"/>
    </row>
    <row r="175" spans="1:8" ht="14" x14ac:dyDescent="0.15">
      <c r="A175" s="100" t="s">
        <v>44</v>
      </c>
      <c r="B175" s="101"/>
      <c r="C175"/>
      <c r="D175"/>
      <c r="E175"/>
    </row>
    <row r="176" spans="1:8" ht="14" x14ac:dyDescent="0.15">
      <c r="A176" s="100" t="s">
        <v>45</v>
      </c>
      <c r="B176" s="101"/>
      <c r="C176"/>
      <c r="D176"/>
      <c r="E176"/>
    </row>
    <row r="177" spans="1:5" ht="14" x14ac:dyDescent="0.15">
      <c r="A177" s="100" t="s">
        <v>47</v>
      </c>
      <c r="B177" s="102"/>
      <c r="C177"/>
      <c r="D177"/>
      <c r="E177"/>
    </row>
    <row r="178" spans="1:5" x14ac:dyDescent="0.15">
      <c r="A178"/>
      <c r="B178"/>
      <c r="C178"/>
      <c r="D178"/>
      <c r="E178"/>
    </row>
    <row r="179" spans="1:5" x14ac:dyDescent="0.15">
      <c r="A179"/>
      <c r="B179"/>
      <c r="C179"/>
      <c r="D179"/>
      <c r="E179"/>
    </row>
    <row r="180" spans="1:5" x14ac:dyDescent="0.15">
      <c r="A180"/>
      <c r="B180"/>
      <c r="C180"/>
      <c r="D180"/>
      <c r="E180"/>
    </row>
    <row r="181" spans="1:5" x14ac:dyDescent="0.15">
      <c r="A181" s="34" t="s">
        <v>57</v>
      </c>
      <c r="B181"/>
      <c r="C181"/>
    </row>
    <row r="182" spans="1:5" x14ac:dyDescent="0.15">
      <c r="A182" s="98" t="s">
        <v>18</v>
      </c>
      <c r="B182" s="98" t="s">
        <v>88</v>
      </c>
      <c r="D182" s="78" t="s">
        <v>132</v>
      </c>
    </row>
    <row r="183" spans="1:5" x14ac:dyDescent="0.15">
      <c r="A183" s="103" t="str">
        <f t="shared" ref="A183:A195" si="18">A108</f>
        <v>2018-09</v>
      </c>
      <c r="B183" s="213">
        <v>12323</v>
      </c>
      <c r="C183" s="130" t="s">
        <v>104</v>
      </c>
    </row>
    <row r="184" spans="1:5" x14ac:dyDescent="0.15">
      <c r="A184" s="103" t="str">
        <f t="shared" si="18"/>
        <v>2018-10</v>
      </c>
      <c r="B184" s="212">
        <v>12515</v>
      </c>
    </row>
    <row r="185" spans="1:5" x14ac:dyDescent="0.15">
      <c r="A185" s="103" t="str">
        <f t="shared" si="18"/>
        <v>2018-11</v>
      </c>
      <c r="B185" s="212">
        <v>19766</v>
      </c>
    </row>
    <row r="186" spans="1:5" x14ac:dyDescent="0.15">
      <c r="A186" s="103" t="str">
        <f t="shared" si="18"/>
        <v>2018-12</v>
      </c>
      <c r="B186" s="212">
        <v>12155</v>
      </c>
    </row>
    <row r="187" spans="1:5" x14ac:dyDescent="0.15">
      <c r="A187" s="103" t="str">
        <f t="shared" si="18"/>
        <v>2019-01</v>
      </c>
      <c r="B187" s="212">
        <v>15961</v>
      </c>
    </row>
    <row r="188" spans="1:5" x14ac:dyDescent="0.15">
      <c r="A188" s="103" t="str">
        <f t="shared" si="18"/>
        <v>2019-02</v>
      </c>
      <c r="B188" s="212">
        <v>16200</v>
      </c>
    </row>
    <row r="189" spans="1:5" x14ac:dyDescent="0.15">
      <c r="A189" s="103" t="str">
        <f t="shared" si="18"/>
        <v>2019-03</v>
      </c>
      <c r="B189" s="212">
        <v>13941</v>
      </c>
    </row>
    <row r="190" spans="1:5" x14ac:dyDescent="0.15">
      <c r="A190" s="103" t="str">
        <f t="shared" si="18"/>
        <v>2019-04</v>
      </c>
      <c r="B190" s="212">
        <v>11196</v>
      </c>
    </row>
    <row r="191" spans="1:5" x14ac:dyDescent="0.15">
      <c r="A191" s="103" t="str">
        <f t="shared" si="18"/>
        <v>2019-05</v>
      </c>
      <c r="B191" s="212">
        <v>12476</v>
      </c>
    </row>
    <row r="192" spans="1:5" x14ac:dyDescent="0.15">
      <c r="A192" s="103" t="str">
        <f t="shared" si="18"/>
        <v>2019-06</v>
      </c>
      <c r="B192" s="212">
        <v>9522</v>
      </c>
    </row>
    <row r="193" spans="1:5" x14ac:dyDescent="0.15">
      <c r="A193" s="103" t="str">
        <f t="shared" si="18"/>
        <v>2019-07</v>
      </c>
      <c r="B193" s="212">
        <v>10902</v>
      </c>
    </row>
    <row r="194" spans="1:5" x14ac:dyDescent="0.15">
      <c r="A194" s="103" t="str">
        <f t="shared" si="18"/>
        <v>2019-08</v>
      </c>
      <c r="B194" s="212">
        <v>37659</v>
      </c>
    </row>
    <row r="195" spans="1:5" x14ac:dyDescent="0.15">
      <c r="A195" s="103" t="str">
        <f t="shared" si="18"/>
        <v>2019-09</v>
      </c>
      <c r="B195" s="212">
        <v>14934</v>
      </c>
    </row>
    <row r="196" spans="1:5" x14ac:dyDescent="0.15">
      <c r="A196" s="98" t="s">
        <v>56</v>
      </c>
      <c r="B196" s="213">
        <f>SUM(B184:B195)</f>
        <v>187227</v>
      </c>
    </row>
    <row r="197" spans="1:5" x14ac:dyDescent="0.15">
      <c r="A197" s="36" t="s">
        <v>31</v>
      </c>
      <c r="B197" s="209">
        <f>AVERAGE(B184:B195)</f>
        <v>15602.25</v>
      </c>
    </row>
    <row r="198" spans="1:5" x14ac:dyDescent="0.15">
      <c r="A198" s="196" t="s">
        <v>150</v>
      </c>
      <c r="B198" s="196">
        <v>187227</v>
      </c>
      <c r="C198" s="279" t="s">
        <v>166</v>
      </c>
      <c r="D198" s="36"/>
      <c r="E198" s="36"/>
    </row>
    <row r="199" spans="1:5" x14ac:dyDescent="0.15">
      <c r="A199" s="196" t="s">
        <v>109</v>
      </c>
      <c r="B199" s="156">
        <v>209810</v>
      </c>
      <c r="C199" s="279" t="s">
        <v>166</v>
      </c>
      <c r="D199" s="73"/>
      <c r="E199" s="73"/>
    </row>
    <row r="200" spans="1:5" x14ac:dyDescent="0.15">
      <c r="A200" s="36"/>
      <c r="B200" s="36"/>
      <c r="C200" s="73"/>
      <c r="D200" s="85"/>
      <c r="E200" s="85"/>
    </row>
    <row r="201" spans="1:5" x14ac:dyDescent="0.15">
      <c r="A201" s="78" t="s">
        <v>58</v>
      </c>
      <c r="B201" s="197"/>
      <c r="C201" s="84"/>
    </row>
    <row r="202" spans="1:5" x14ac:dyDescent="0.15">
      <c r="A202" s="198" t="s">
        <v>18</v>
      </c>
      <c r="B202" s="213" t="s">
        <v>88</v>
      </c>
      <c r="C202" s="36"/>
    </row>
    <row r="203" spans="1:5" x14ac:dyDescent="0.15">
      <c r="A203" s="200">
        <f t="shared" ref="A203:A214" si="19">A144</f>
        <v>43374</v>
      </c>
      <c r="B203" s="202">
        <f>B184-B$197</f>
        <v>-3087.25</v>
      </c>
      <c r="C203" s="36"/>
    </row>
    <row r="204" spans="1:5" x14ac:dyDescent="0.15">
      <c r="A204" s="200">
        <f t="shared" si="19"/>
        <v>43405</v>
      </c>
      <c r="B204" s="202">
        <f t="shared" ref="B204:B214" si="20">B185-B$197</f>
        <v>4163.75</v>
      </c>
      <c r="C204" s="36"/>
    </row>
    <row r="205" spans="1:5" x14ac:dyDescent="0.15">
      <c r="A205" s="200">
        <f t="shared" si="19"/>
        <v>43435</v>
      </c>
      <c r="B205" s="202">
        <f t="shared" si="20"/>
        <v>-3447.25</v>
      </c>
      <c r="C205" s="36"/>
    </row>
    <row r="206" spans="1:5" x14ac:dyDescent="0.15">
      <c r="A206" s="200">
        <f t="shared" si="19"/>
        <v>43466</v>
      </c>
      <c r="B206" s="202">
        <f t="shared" si="20"/>
        <v>358.75</v>
      </c>
      <c r="C206" s="36"/>
    </row>
    <row r="207" spans="1:5" x14ac:dyDescent="0.15">
      <c r="A207" s="200">
        <f t="shared" si="19"/>
        <v>43497</v>
      </c>
      <c r="B207" s="202">
        <f t="shared" si="20"/>
        <v>597.75</v>
      </c>
      <c r="C207" s="36"/>
    </row>
    <row r="208" spans="1:5" x14ac:dyDescent="0.15">
      <c r="A208" s="200">
        <f t="shared" si="19"/>
        <v>43525</v>
      </c>
      <c r="B208" s="202">
        <f t="shared" si="20"/>
        <v>-1661.25</v>
      </c>
      <c r="C208" s="36"/>
    </row>
    <row r="209" spans="1:5" x14ac:dyDescent="0.15">
      <c r="A209" s="200">
        <f t="shared" si="19"/>
        <v>43556</v>
      </c>
      <c r="B209" s="202">
        <f t="shared" si="20"/>
        <v>-4406.25</v>
      </c>
      <c r="C209" s="36"/>
    </row>
    <row r="210" spans="1:5" x14ac:dyDescent="0.15">
      <c r="A210" s="200">
        <f t="shared" si="19"/>
        <v>43586</v>
      </c>
      <c r="B210" s="202">
        <f t="shared" si="20"/>
        <v>-3126.25</v>
      </c>
      <c r="C210" s="36"/>
    </row>
    <row r="211" spans="1:5" x14ac:dyDescent="0.15">
      <c r="A211" s="200">
        <f t="shared" si="19"/>
        <v>43617</v>
      </c>
      <c r="B211" s="202">
        <f t="shared" si="20"/>
        <v>-6080.25</v>
      </c>
      <c r="C211" s="36"/>
    </row>
    <row r="212" spans="1:5" x14ac:dyDescent="0.15">
      <c r="A212" s="200">
        <f t="shared" si="19"/>
        <v>43647</v>
      </c>
      <c r="B212" s="202">
        <f t="shared" si="20"/>
        <v>-4700.25</v>
      </c>
      <c r="C212" s="36"/>
    </row>
    <row r="213" spans="1:5" x14ac:dyDescent="0.15">
      <c r="A213" s="200">
        <f t="shared" si="19"/>
        <v>43678</v>
      </c>
      <c r="B213" s="202">
        <f t="shared" si="20"/>
        <v>22056.75</v>
      </c>
      <c r="C213" s="36"/>
    </row>
    <row r="214" spans="1:5" x14ac:dyDescent="0.15">
      <c r="A214" s="200">
        <f t="shared" si="19"/>
        <v>43709</v>
      </c>
      <c r="B214" s="202">
        <f t="shared" si="20"/>
        <v>-668.25</v>
      </c>
      <c r="C214" s="36"/>
      <c r="D214" s="36"/>
      <c r="E214" s="36"/>
    </row>
    <row r="215" spans="1:5" x14ac:dyDescent="0.15">
      <c r="A215" s="198" t="s">
        <v>13</v>
      </c>
      <c r="B215" s="202">
        <f>SUM(B203:B214)</f>
        <v>0</v>
      </c>
      <c r="C215" s="36"/>
      <c r="D215" s="104"/>
      <c r="E215" s="104"/>
    </row>
    <row r="216" spans="1:5" x14ac:dyDescent="0.15">
      <c r="B216" s="36"/>
      <c r="C216" s="104"/>
      <c r="D216" s="85"/>
      <c r="E216" s="85"/>
    </row>
    <row r="217" spans="1:5" x14ac:dyDescent="0.15">
      <c r="A217" s="78" t="s">
        <v>59</v>
      </c>
      <c r="B217" s="214"/>
      <c r="C217" s="105"/>
    </row>
    <row r="218" spans="1:5" x14ac:dyDescent="0.15">
      <c r="A218" s="205" t="s">
        <v>18</v>
      </c>
      <c r="B218" s="179" t="s">
        <v>88</v>
      </c>
      <c r="C218" s="36"/>
    </row>
    <row r="219" spans="1:5" x14ac:dyDescent="0.15">
      <c r="A219" s="200">
        <f>A203</f>
        <v>43374</v>
      </c>
      <c r="B219" s="202">
        <f>B184-B183</f>
        <v>192</v>
      </c>
      <c r="C219" s="36"/>
    </row>
    <row r="220" spans="1:5" x14ac:dyDescent="0.15">
      <c r="A220" s="200">
        <f t="shared" ref="A220:A230" si="21">A204</f>
        <v>43405</v>
      </c>
      <c r="B220" s="202">
        <f>B185-B184</f>
        <v>7251</v>
      </c>
      <c r="C220" s="36"/>
    </row>
    <row r="221" spans="1:5" x14ac:dyDescent="0.15">
      <c r="A221" s="200">
        <f t="shared" si="21"/>
        <v>43435</v>
      </c>
      <c r="B221" s="202">
        <f t="shared" ref="B221:B230" si="22">B186-B185</f>
        <v>-7611</v>
      </c>
      <c r="C221" s="36"/>
    </row>
    <row r="222" spans="1:5" x14ac:dyDescent="0.15">
      <c r="A222" s="200">
        <f t="shared" si="21"/>
        <v>43466</v>
      </c>
      <c r="B222" s="202">
        <f t="shared" si="22"/>
        <v>3806</v>
      </c>
      <c r="C222" s="36"/>
    </row>
    <row r="223" spans="1:5" x14ac:dyDescent="0.15">
      <c r="A223" s="200">
        <f t="shared" si="21"/>
        <v>43497</v>
      </c>
      <c r="B223" s="202">
        <f t="shared" si="22"/>
        <v>239</v>
      </c>
      <c r="C223" s="36"/>
    </row>
    <row r="224" spans="1:5" x14ac:dyDescent="0.15">
      <c r="A224" s="200">
        <f t="shared" si="21"/>
        <v>43525</v>
      </c>
      <c r="B224" s="202">
        <f t="shared" si="22"/>
        <v>-2259</v>
      </c>
      <c r="C224" s="36"/>
    </row>
    <row r="225" spans="1:6" x14ac:dyDescent="0.15">
      <c r="A225" s="200">
        <f t="shared" si="21"/>
        <v>43556</v>
      </c>
      <c r="B225" s="202">
        <f t="shared" si="22"/>
        <v>-2745</v>
      </c>
      <c r="C225" s="36"/>
    </row>
    <row r="226" spans="1:6" x14ac:dyDescent="0.15">
      <c r="A226" s="200">
        <f t="shared" si="21"/>
        <v>43586</v>
      </c>
      <c r="B226" s="202">
        <f t="shared" si="22"/>
        <v>1280</v>
      </c>
      <c r="C226" s="36"/>
    </row>
    <row r="227" spans="1:6" x14ac:dyDescent="0.15">
      <c r="A227" s="200">
        <f t="shared" si="21"/>
        <v>43617</v>
      </c>
      <c r="B227" s="202">
        <f t="shared" si="22"/>
        <v>-2954</v>
      </c>
      <c r="C227" s="36"/>
    </row>
    <row r="228" spans="1:6" x14ac:dyDescent="0.15">
      <c r="A228" s="200">
        <f t="shared" si="21"/>
        <v>43647</v>
      </c>
      <c r="B228" s="202">
        <f t="shared" si="22"/>
        <v>1380</v>
      </c>
      <c r="C228" s="36"/>
    </row>
    <row r="229" spans="1:6" x14ac:dyDescent="0.15">
      <c r="A229" s="200">
        <f t="shared" si="21"/>
        <v>43678</v>
      </c>
      <c r="B229" s="202">
        <f t="shared" si="22"/>
        <v>26757</v>
      </c>
      <c r="C229" s="36"/>
      <c r="D229" s="36"/>
      <c r="E229" s="36"/>
    </row>
    <row r="230" spans="1:6" x14ac:dyDescent="0.15">
      <c r="A230" s="200">
        <f t="shared" si="21"/>
        <v>43709</v>
      </c>
      <c r="B230" s="202">
        <f t="shared" si="22"/>
        <v>-22725</v>
      </c>
      <c r="C230" s="36"/>
    </row>
    <row r="231" spans="1:6" x14ac:dyDescent="0.15">
      <c r="A231" s="82"/>
      <c r="B231" s="36"/>
    </row>
    <row r="232" spans="1:6" x14ac:dyDescent="0.15">
      <c r="A232" s="82"/>
      <c r="D232" s="76"/>
    </row>
    <row r="233" spans="1:6" x14ac:dyDescent="0.15">
      <c r="A233" s="34" t="s">
        <v>63</v>
      </c>
      <c r="C233" s="75"/>
      <c r="D233" s="76"/>
      <c r="F233" s="78" t="s">
        <v>132</v>
      </c>
    </row>
    <row r="234" spans="1:6" x14ac:dyDescent="0.15">
      <c r="A234" s="98"/>
      <c r="B234" s="371" t="s">
        <v>88</v>
      </c>
      <c r="C234" s="372"/>
      <c r="D234" s="373"/>
    </row>
    <row r="235" spans="1:6" x14ac:dyDescent="0.15">
      <c r="A235" s="98" t="s">
        <v>62</v>
      </c>
      <c r="B235" s="98" t="s">
        <v>54</v>
      </c>
      <c r="C235" s="98" t="s">
        <v>55</v>
      </c>
      <c r="D235" s="98" t="s">
        <v>53</v>
      </c>
    </row>
    <row r="236" spans="1:6" x14ac:dyDescent="0.15">
      <c r="A236" s="98" t="s">
        <v>41</v>
      </c>
      <c r="B236" s="106"/>
      <c r="C236" s="106"/>
      <c r="D236" s="106"/>
    </row>
    <row r="237" spans="1:6" x14ac:dyDescent="0.15">
      <c r="A237" s="98" t="s">
        <v>42</v>
      </c>
      <c r="B237" s="106"/>
      <c r="C237" s="106"/>
      <c r="D237" s="106"/>
    </row>
    <row r="238" spans="1:6" x14ac:dyDescent="0.15">
      <c r="A238" s="213" t="s">
        <v>43</v>
      </c>
      <c r="B238" s="186">
        <v>592471</v>
      </c>
      <c r="C238" s="186">
        <v>6582527</v>
      </c>
      <c r="D238" s="186">
        <v>325462</v>
      </c>
    </row>
    <row r="239" spans="1:6" x14ac:dyDescent="0.15">
      <c r="A239" s="213" t="s">
        <v>44</v>
      </c>
      <c r="B239" s="186">
        <v>555306</v>
      </c>
      <c r="C239" s="186">
        <v>5791919</v>
      </c>
      <c r="D239" s="186">
        <v>298036</v>
      </c>
    </row>
    <row r="240" spans="1:6" x14ac:dyDescent="0.15">
      <c r="A240" s="213" t="s">
        <v>45</v>
      </c>
      <c r="B240" s="186">
        <v>399036</v>
      </c>
      <c r="C240" s="186">
        <v>4085298</v>
      </c>
      <c r="D240" s="186">
        <v>224482</v>
      </c>
    </row>
    <row r="241" spans="1:6" x14ac:dyDescent="0.15">
      <c r="A241" s="213" t="s">
        <v>47</v>
      </c>
      <c r="B241" s="186">
        <v>349520</v>
      </c>
      <c r="C241" s="186">
        <v>3443353</v>
      </c>
      <c r="D241" s="186">
        <v>198199</v>
      </c>
    </row>
    <row r="242" spans="1:6" x14ac:dyDescent="0.15">
      <c r="A242" s="249" t="s">
        <v>79</v>
      </c>
      <c r="B242" s="250">
        <v>318452</v>
      </c>
      <c r="C242" s="250">
        <v>3076663</v>
      </c>
      <c r="D242" s="250">
        <v>185720</v>
      </c>
    </row>
    <row r="243" spans="1:6" x14ac:dyDescent="0.15">
      <c r="A243" s="213" t="s">
        <v>99</v>
      </c>
      <c r="B243" s="186">
        <v>302452</v>
      </c>
      <c r="C243" s="186">
        <v>2925899</v>
      </c>
      <c r="D243" s="186">
        <v>198199</v>
      </c>
    </row>
    <row r="244" spans="1:6" x14ac:dyDescent="0.15">
      <c r="A244" s="213" t="s">
        <v>107</v>
      </c>
      <c r="B244" s="186">
        <v>294901</v>
      </c>
      <c r="C244" s="186">
        <v>3706912</v>
      </c>
      <c r="D244" s="186">
        <v>197163</v>
      </c>
    </row>
    <row r="245" spans="1:6" x14ac:dyDescent="0.15">
      <c r="A245" s="212" t="s">
        <v>149</v>
      </c>
      <c r="B245" s="190">
        <v>231461</v>
      </c>
      <c r="C245" s="190">
        <v>1897123</v>
      </c>
      <c r="D245" s="190">
        <v>180621</v>
      </c>
      <c r="F245" s="78" t="s">
        <v>156</v>
      </c>
    </row>
    <row r="248" spans="1:6" x14ac:dyDescent="0.15">
      <c r="A248" s="34" t="s">
        <v>57</v>
      </c>
      <c r="B248"/>
      <c r="C248"/>
    </row>
    <row r="249" spans="1:6" x14ac:dyDescent="0.15">
      <c r="A249" s="98" t="s">
        <v>18</v>
      </c>
      <c r="B249" s="98" t="s">
        <v>88</v>
      </c>
      <c r="D249" s="78" t="s">
        <v>132</v>
      </c>
    </row>
    <row r="250" spans="1:6" x14ac:dyDescent="0.15">
      <c r="A250" s="103" t="str">
        <f>A108</f>
        <v>2018-09</v>
      </c>
      <c r="B250" s="213">
        <v>5000</v>
      </c>
      <c r="C250" s="130" t="s">
        <v>104</v>
      </c>
    </row>
    <row r="251" spans="1:6" x14ac:dyDescent="0.15">
      <c r="A251" s="103" t="str">
        <f t="shared" ref="A251:A262" si="23">A109</f>
        <v>2018-10</v>
      </c>
      <c r="B251" s="106">
        <v>4978</v>
      </c>
    </row>
    <row r="252" spans="1:6" x14ac:dyDescent="0.15">
      <c r="A252" s="103" t="str">
        <f t="shared" si="23"/>
        <v>2018-11</v>
      </c>
      <c r="B252" s="106">
        <v>14942</v>
      </c>
    </row>
    <row r="253" spans="1:6" x14ac:dyDescent="0.15">
      <c r="A253" s="103" t="str">
        <f t="shared" si="23"/>
        <v>2018-12</v>
      </c>
      <c r="B253" s="106">
        <v>3191</v>
      </c>
    </row>
    <row r="254" spans="1:6" x14ac:dyDescent="0.15">
      <c r="A254" s="103" t="str">
        <f t="shared" si="23"/>
        <v>2019-01</v>
      </c>
      <c r="B254" s="106">
        <v>5682</v>
      </c>
    </row>
    <row r="255" spans="1:6" x14ac:dyDescent="0.15">
      <c r="A255" s="103" t="str">
        <f t="shared" si="23"/>
        <v>2019-02</v>
      </c>
      <c r="B255" s="106">
        <v>5919</v>
      </c>
    </row>
    <row r="256" spans="1:6" x14ac:dyDescent="0.15">
      <c r="A256" s="103" t="str">
        <f t="shared" si="23"/>
        <v>2019-03</v>
      </c>
      <c r="B256" s="106">
        <v>8031</v>
      </c>
    </row>
    <row r="257" spans="1:5" x14ac:dyDescent="0.15">
      <c r="A257" s="103" t="str">
        <f t="shared" si="23"/>
        <v>2019-04</v>
      </c>
      <c r="B257" s="106">
        <v>6998</v>
      </c>
    </row>
    <row r="258" spans="1:5" x14ac:dyDescent="0.15">
      <c r="A258" s="103" t="str">
        <f t="shared" si="23"/>
        <v>2019-05</v>
      </c>
      <c r="B258" s="106">
        <v>10980</v>
      </c>
    </row>
    <row r="259" spans="1:5" x14ac:dyDescent="0.15">
      <c r="A259" s="103" t="str">
        <f t="shared" si="23"/>
        <v>2019-06</v>
      </c>
      <c r="B259" s="106">
        <v>8847</v>
      </c>
    </row>
    <row r="260" spans="1:5" x14ac:dyDescent="0.15">
      <c r="A260" s="103" t="str">
        <f t="shared" si="23"/>
        <v>2019-07</v>
      </c>
      <c r="B260" s="106">
        <v>14988</v>
      </c>
    </row>
    <row r="261" spans="1:5" x14ac:dyDescent="0.15">
      <c r="A261" s="103" t="str">
        <f t="shared" si="23"/>
        <v>2019-08</v>
      </c>
      <c r="B261" s="106">
        <v>124855</v>
      </c>
    </row>
    <row r="262" spans="1:5" x14ac:dyDescent="0.15">
      <c r="A262" s="103" t="str">
        <f t="shared" si="23"/>
        <v>2019-09</v>
      </c>
      <c r="B262" s="106">
        <v>25247</v>
      </c>
    </row>
    <row r="263" spans="1:5" x14ac:dyDescent="0.15">
      <c r="A263" s="98" t="s">
        <v>56</v>
      </c>
      <c r="B263" s="213">
        <f>SUM(B251:B262)</f>
        <v>234658</v>
      </c>
    </row>
    <row r="264" spans="1:5" x14ac:dyDescent="0.15">
      <c r="A264" s="36" t="s">
        <v>31</v>
      </c>
      <c r="B264" s="209">
        <f>AVERAGE(B251:B262)</f>
        <v>19554.833333333332</v>
      </c>
    </row>
    <row r="265" spans="1:5" x14ac:dyDescent="0.15">
      <c r="A265" s="196" t="s">
        <v>150</v>
      </c>
      <c r="B265" s="196">
        <v>234658</v>
      </c>
      <c r="C265" s="279" t="s">
        <v>166</v>
      </c>
      <c r="D265" s="36"/>
      <c r="E265" s="36"/>
    </row>
    <row r="266" spans="1:5" x14ac:dyDescent="0.15">
      <c r="A266" s="196" t="s">
        <v>109</v>
      </c>
      <c r="B266" s="156">
        <v>209810</v>
      </c>
      <c r="C266" s="279" t="s">
        <v>166</v>
      </c>
      <c r="D266" s="285"/>
      <c r="E266" s="285"/>
    </row>
    <row r="267" spans="1:5" x14ac:dyDescent="0.15">
      <c r="A267" s="36"/>
      <c r="B267" s="36"/>
      <c r="C267" s="285"/>
      <c r="D267" s="85"/>
      <c r="E267" s="85"/>
    </row>
    <row r="268" spans="1:5" x14ac:dyDescent="0.15">
      <c r="A268" s="78" t="s">
        <v>58</v>
      </c>
      <c r="B268" s="197"/>
      <c r="C268" s="84"/>
    </row>
    <row r="269" spans="1:5" x14ac:dyDescent="0.15">
      <c r="A269" s="198" t="s">
        <v>18</v>
      </c>
      <c r="B269" s="213" t="s">
        <v>88</v>
      </c>
      <c r="C269" s="36"/>
    </row>
    <row r="270" spans="1:5" x14ac:dyDescent="0.15">
      <c r="A270" s="200">
        <f>A144</f>
        <v>43374</v>
      </c>
      <c r="B270" s="202">
        <f>B251-B$197</f>
        <v>-10624.25</v>
      </c>
      <c r="C270" s="36"/>
    </row>
    <row r="271" spans="1:5" x14ac:dyDescent="0.15">
      <c r="A271" s="200">
        <f t="shared" ref="A271:A281" si="24">A145</f>
        <v>43405</v>
      </c>
      <c r="B271" s="202">
        <f t="shared" ref="B271:B281" si="25">B252-B$197</f>
        <v>-660.25</v>
      </c>
      <c r="C271" s="36"/>
    </row>
    <row r="272" spans="1:5" x14ac:dyDescent="0.15">
      <c r="A272" s="200">
        <f t="shared" si="24"/>
        <v>43435</v>
      </c>
      <c r="B272" s="202">
        <f t="shared" si="25"/>
        <v>-12411.25</v>
      </c>
      <c r="C272" s="36"/>
    </row>
    <row r="273" spans="1:5" x14ac:dyDescent="0.15">
      <c r="A273" s="200">
        <f t="shared" si="24"/>
        <v>43466</v>
      </c>
      <c r="B273" s="202">
        <f t="shared" si="25"/>
        <v>-9920.25</v>
      </c>
      <c r="C273" s="36"/>
    </row>
    <row r="274" spans="1:5" x14ac:dyDescent="0.15">
      <c r="A274" s="200">
        <f t="shared" si="24"/>
        <v>43497</v>
      </c>
      <c r="B274" s="202">
        <f t="shared" si="25"/>
        <v>-9683.25</v>
      </c>
      <c r="C274" s="36"/>
    </row>
    <row r="275" spans="1:5" x14ac:dyDescent="0.15">
      <c r="A275" s="200">
        <f t="shared" si="24"/>
        <v>43525</v>
      </c>
      <c r="B275" s="202">
        <f t="shared" si="25"/>
        <v>-7571.25</v>
      </c>
      <c r="C275" s="36"/>
    </row>
    <row r="276" spans="1:5" x14ac:dyDescent="0.15">
      <c r="A276" s="200">
        <f t="shared" si="24"/>
        <v>43556</v>
      </c>
      <c r="B276" s="202">
        <f t="shared" si="25"/>
        <v>-8604.25</v>
      </c>
      <c r="C276" s="36"/>
    </row>
    <row r="277" spans="1:5" x14ac:dyDescent="0.15">
      <c r="A277" s="200">
        <f t="shared" si="24"/>
        <v>43586</v>
      </c>
      <c r="B277" s="202">
        <f t="shared" si="25"/>
        <v>-4622.25</v>
      </c>
      <c r="C277" s="36"/>
    </row>
    <row r="278" spans="1:5" x14ac:dyDescent="0.15">
      <c r="A278" s="200">
        <f t="shared" si="24"/>
        <v>43617</v>
      </c>
      <c r="B278" s="202">
        <f t="shared" si="25"/>
        <v>-6755.25</v>
      </c>
      <c r="C278" s="36"/>
    </row>
    <row r="279" spans="1:5" x14ac:dyDescent="0.15">
      <c r="A279" s="200">
        <f t="shared" si="24"/>
        <v>43647</v>
      </c>
      <c r="B279" s="202">
        <f t="shared" si="25"/>
        <v>-614.25</v>
      </c>
      <c r="C279" s="36"/>
    </row>
    <row r="280" spans="1:5" x14ac:dyDescent="0.15">
      <c r="A280" s="200">
        <f t="shared" si="24"/>
        <v>43678</v>
      </c>
      <c r="B280" s="202">
        <f t="shared" si="25"/>
        <v>109252.75</v>
      </c>
      <c r="C280" s="36"/>
    </row>
    <row r="281" spans="1:5" x14ac:dyDescent="0.15">
      <c r="A281" s="200">
        <f t="shared" si="24"/>
        <v>43709</v>
      </c>
      <c r="B281" s="202">
        <f t="shared" si="25"/>
        <v>9644.75</v>
      </c>
      <c r="C281" s="36"/>
      <c r="D281" s="36"/>
      <c r="E281" s="36"/>
    </row>
    <row r="282" spans="1:5" x14ac:dyDescent="0.15">
      <c r="A282" s="198" t="s">
        <v>13</v>
      </c>
      <c r="B282" s="202">
        <f>SUM(B270:B281)</f>
        <v>47431</v>
      </c>
      <c r="C282" s="36"/>
      <c r="D282" s="286"/>
      <c r="E282" s="286"/>
    </row>
    <row r="283" spans="1:5" x14ac:dyDescent="0.15">
      <c r="B283" s="36"/>
      <c r="C283" s="286"/>
      <c r="D283" s="85"/>
      <c r="E283" s="85"/>
    </row>
    <row r="284" spans="1:5" x14ac:dyDescent="0.15">
      <c r="A284" s="78" t="s">
        <v>59</v>
      </c>
      <c r="B284" s="214"/>
      <c r="C284" s="105"/>
    </row>
    <row r="285" spans="1:5" x14ac:dyDescent="0.15">
      <c r="A285" s="205" t="s">
        <v>18</v>
      </c>
      <c r="B285" s="179" t="s">
        <v>88</v>
      </c>
      <c r="C285" s="36"/>
    </row>
    <row r="286" spans="1:5" x14ac:dyDescent="0.15">
      <c r="A286" s="200">
        <f>A270</f>
        <v>43374</v>
      </c>
      <c r="B286" s="202">
        <f>B251-B250</f>
        <v>-22</v>
      </c>
      <c r="C286" s="36"/>
    </row>
    <row r="287" spans="1:5" x14ac:dyDescent="0.15">
      <c r="A287" s="200">
        <f t="shared" ref="A287:A297" si="26">A271</f>
        <v>43405</v>
      </c>
      <c r="B287" s="202">
        <f>B252-B251</f>
        <v>9964</v>
      </c>
      <c r="C287" s="36"/>
    </row>
    <row r="288" spans="1:5" x14ac:dyDescent="0.15">
      <c r="A288" s="200">
        <f t="shared" si="26"/>
        <v>43435</v>
      </c>
      <c r="B288" s="202">
        <f t="shared" ref="B288:B297" si="27">B253-B252</f>
        <v>-11751</v>
      </c>
      <c r="C288" s="36"/>
    </row>
    <row r="289" spans="1:6" x14ac:dyDescent="0.15">
      <c r="A289" s="200">
        <f t="shared" si="26"/>
        <v>43466</v>
      </c>
      <c r="B289" s="202">
        <f t="shared" si="27"/>
        <v>2491</v>
      </c>
      <c r="C289" s="36"/>
    </row>
    <row r="290" spans="1:6" x14ac:dyDescent="0.15">
      <c r="A290" s="200">
        <f t="shared" si="26"/>
        <v>43497</v>
      </c>
      <c r="B290" s="202">
        <f t="shared" si="27"/>
        <v>237</v>
      </c>
      <c r="C290" s="36"/>
    </row>
    <row r="291" spans="1:6" x14ac:dyDescent="0.15">
      <c r="A291" s="200">
        <f t="shared" si="26"/>
        <v>43525</v>
      </c>
      <c r="B291" s="202">
        <f t="shared" si="27"/>
        <v>2112</v>
      </c>
      <c r="C291" s="36"/>
    </row>
    <row r="292" spans="1:6" x14ac:dyDescent="0.15">
      <c r="A292" s="200">
        <f t="shared" si="26"/>
        <v>43556</v>
      </c>
      <c r="B292" s="202">
        <f t="shared" si="27"/>
        <v>-1033</v>
      </c>
      <c r="C292" s="36"/>
    </row>
    <row r="293" spans="1:6" x14ac:dyDescent="0.15">
      <c r="A293" s="200">
        <f t="shared" si="26"/>
        <v>43586</v>
      </c>
      <c r="B293" s="202">
        <f t="shared" si="27"/>
        <v>3982</v>
      </c>
      <c r="C293" s="36"/>
    </row>
    <row r="294" spans="1:6" x14ac:dyDescent="0.15">
      <c r="A294" s="200">
        <f t="shared" si="26"/>
        <v>43617</v>
      </c>
      <c r="B294" s="202">
        <f t="shared" si="27"/>
        <v>-2133</v>
      </c>
      <c r="C294" s="36"/>
    </row>
    <row r="295" spans="1:6" x14ac:dyDescent="0.15">
      <c r="A295" s="200">
        <f t="shared" si="26"/>
        <v>43647</v>
      </c>
      <c r="B295" s="202">
        <f t="shared" si="27"/>
        <v>6141</v>
      </c>
      <c r="C295" s="36"/>
    </row>
    <row r="296" spans="1:6" x14ac:dyDescent="0.15">
      <c r="A296" s="200">
        <f t="shared" si="26"/>
        <v>43678</v>
      </c>
      <c r="B296" s="202">
        <f t="shared" si="27"/>
        <v>109867</v>
      </c>
      <c r="C296" s="36"/>
      <c r="D296" s="36"/>
      <c r="E296" s="36"/>
    </row>
    <row r="297" spans="1:6" x14ac:dyDescent="0.15">
      <c r="A297" s="200">
        <f t="shared" si="26"/>
        <v>43709</v>
      </c>
      <c r="B297" s="202">
        <f t="shared" si="27"/>
        <v>-99608</v>
      </c>
      <c r="C297" s="36"/>
    </row>
    <row r="298" spans="1:6" x14ac:dyDescent="0.15">
      <c r="A298" s="82"/>
      <c r="B298" s="36"/>
    </row>
    <row r="299" spans="1:6" x14ac:dyDescent="0.15">
      <c r="A299" s="82"/>
      <c r="D299" s="288"/>
    </row>
    <row r="300" spans="1:6" x14ac:dyDescent="0.15">
      <c r="A300" s="34" t="s">
        <v>63</v>
      </c>
      <c r="C300" s="287"/>
      <c r="D300" s="288"/>
      <c r="F300" s="78" t="s">
        <v>132</v>
      </c>
    </row>
    <row r="301" spans="1:6" x14ac:dyDescent="0.15">
      <c r="A301" s="98"/>
      <c r="B301" s="371" t="s">
        <v>88</v>
      </c>
      <c r="C301" s="372"/>
      <c r="D301" s="373"/>
    </row>
    <row r="302" spans="1:6" x14ac:dyDescent="0.15">
      <c r="A302" s="98" t="s">
        <v>62</v>
      </c>
      <c r="B302" s="98" t="s">
        <v>54</v>
      </c>
      <c r="C302" s="98" t="s">
        <v>55</v>
      </c>
      <c r="D302" s="98" t="s">
        <v>53</v>
      </c>
    </row>
    <row r="303" spans="1:6" x14ac:dyDescent="0.15">
      <c r="A303" s="98" t="s">
        <v>41</v>
      </c>
      <c r="B303" s="106"/>
      <c r="C303" s="106"/>
      <c r="D303" s="106"/>
    </row>
    <row r="304" spans="1:6" x14ac:dyDescent="0.15">
      <c r="A304" s="98" t="s">
        <v>42</v>
      </c>
      <c r="B304" s="106"/>
      <c r="C304" s="106"/>
      <c r="D304" s="106"/>
    </row>
    <row r="305" spans="1:6" x14ac:dyDescent="0.15">
      <c r="A305" s="213" t="s">
        <v>43</v>
      </c>
      <c r="B305" s="186">
        <v>592471</v>
      </c>
      <c r="C305" s="186">
        <v>6582527</v>
      </c>
      <c r="D305" s="186">
        <v>325462</v>
      </c>
    </row>
    <row r="306" spans="1:6" x14ac:dyDescent="0.15">
      <c r="A306" s="213" t="s">
        <v>44</v>
      </c>
      <c r="B306" s="186">
        <v>555306</v>
      </c>
      <c r="C306" s="186">
        <v>5791919</v>
      </c>
      <c r="D306" s="186">
        <v>298036</v>
      </c>
    </row>
    <row r="307" spans="1:6" x14ac:dyDescent="0.15">
      <c r="A307" s="213" t="s">
        <v>45</v>
      </c>
      <c r="B307" s="186">
        <v>399036</v>
      </c>
      <c r="C307" s="186">
        <v>4085298</v>
      </c>
      <c r="D307" s="186">
        <v>224482</v>
      </c>
    </row>
    <row r="308" spans="1:6" x14ac:dyDescent="0.15">
      <c r="A308" s="213" t="s">
        <v>47</v>
      </c>
      <c r="B308" s="186">
        <v>349520</v>
      </c>
      <c r="C308" s="186">
        <v>3443353</v>
      </c>
      <c r="D308" s="186">
        <v>198199</v>
      </c>
    </row>
    <row r="309" spans="1:6" x14ac:dyDescent="0.15">
      <c r="A309" s="249" t="s">
        <v>79</v>
      </c>
      <c r="B309" s="250">
        <v>318452</v>
      </c>
      <c r="C309" s="250">
        <v>3076663</v>
      </c>
      <c r="D309" s="250">
        <v>185720</v>
      </c>
    </row>
    <row r="310" spans="1:6" x14ac:dyDescent="0.15">
      <c r="A310" s="213" t="s">
        <v>99</v>
      </c>
      <c r="B310" s="186">
        <v>302452</v>
      </c>
      <c r="C310" s="186">
        <v>2925899</v>
      </c>
      <c r="D310" s="186">
        <v>198199</v>
      </c>
    </row>
    <row r="311" spans="1:6" x14ac:dyDescent="0.15">
      <c r="A311" s="213" t="s">
        <v>107</v>
      </c>
      <c r="B311" s="186">
        <v>294901</v>
      </c>
      <c r="C311" s="186">
        <v>3706912</v>
      </c>
      <c r="D311" s="186">
        <v>197163</v>
      </c>
    </row>
    <row r="312" spans="1:6" x14ac:dyDescent="0.15">
      <c r="A312" s="212" t="s">
        <v>149</v>
      </c>
      <c r="B312" s="289">
        <v>272524</v>
      </c>
      <c r="C312" s="289">
        <v>1106932</v>
      </c>
      <c r="D312" s="290">
        <v>234658</v>
      </c>
      <c r="F312" s="78" t="s">
        <v>156</v>
      </c>
    </row>
  </sheetData>
  <mergeCells count="2">
    <mergeCell ref="B234:D234"/>
    <mergeCell ref="B301:D301"/>
  </mergeCells>
  <pageMargins left="0.75" right="0.7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AF79"/>
  <sheetViews>
    <sheetView zoomScale="128" zoomScaleNormal="128" zoomScaleSheetLayoutView="90" workbookViewId="0">
      <selection activeCell="AD27" sqref="AD27"/>
    </sheetView>
  </sheetViews>
  <sheetFormatPr baseColWidth="10" defaultColWidth="8.83203125" defaultRowHeight="13" x14ac:dyDescent="0.15"/>
  <cols>
    <col min="1" max="2" width="6" customWidth="1"/>
    <col min="3" max="3" width="15.6640625" customWidth="1"/>
    <col min="4" max="4" width="22.5" customWidth="1"/>
    <col min="5" max="5" width="15.6640625" customWidth="1"/>
    <col min="6" max="6" width="17.5" customWidth="1"/>
    <col min="7" max="7" width="15.1640625" customWidth="1"/>
    <col min="8" max="8" width="18.83203125" bestFit="1" customWidth="1"/>
    <col min="9" max="9" width="13.83203125" bestFit="1" customWidth="1"/>
    <col min="10" max="10" width="14.33203125" customWidth="1"/>
    <col min="11" max="11" width="13.5" bestFit="1" customWidth="1"/>
    <col min="12" max="13" width="14.5" customWidth="1"/>
    <col min="14" max="14" width="12.83203125" customWidth="1"/>
    <col min="15" max="15" width="11.33203125" bestFit="1" customWidth="1"/>
    <col min="16" max="16" width="15" bestFit="1" customWidth="1"/>
    <col min="23" max="23" width="19.1640625" customWidth="1"/>
    <col min="24" max="24" width="41.1640625" customWidth="1"/>
    <col min="26" max="26" width="34.6640625" customWidth="1"/>
    <col min="27" max="27" width="19.1640625" customWidth="1"/>
  </cols>
  <sheetData>
    <row r="1" spans="1:32" ht="39" customHeight="1" x14ac:dyDescent="0.15">
      <c r="C1" s="370" t="s">
        <v>77</v>
      </c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W1" t="s">
        <v>158</v>
      </c>
      <c r="X1" t="s">
        <v>159</v>
      </c>
      <c r="AB1" t="s">
        <v>167</v>
      </c>
    </row>
    <row r="2" spans="1:32" ht="42" customHeight="1" thickBot="1" x14ac:dyDescent="0.2">
      <c r="A2" s="168"/>
      <c r="B2" t="s">
        <v>108</v>
      </c>
      <c r="Z2" t="s">
        <v>163</v>
      </c>
      <c r="AA2" t="s">
        <v>105</v>
      </c>
      <c r="AE2" t="s">
        <v>162</v>
      </c>
      <c r="AF2" t="s">
        <v>115</v>
      </c>
    </row>
    <row r="3" spans="1:32" ht="57" thickBot="1" x14ac:dyDescent="0.2">
      <c r="C3" s="27" t="s">
        <v>38</v>
      </c>
      <c r="D3" s="28" t="s">
        <v>21</v>
      </c>
      <c r="E3" s="11" t="s">
        <v>191</v>
      </c>
      <c r="F3" s="11" t="s">
        <v>189</v>
      </c>
      <c r="G3" s="28" t="s">
        <v>22</v>
      </c>
      <c r="H3" s="28" t="s">
        <v>190</v>
      </c>
      <c r="I3" s="28" t="s">
        <v>188</v>
      </c>
      <c r="J3" s="28" t="s">
        <v>182</v>
      </c>
      <c r="K3" s="28" t="s">
        <v>183</v>
      </c>
      <c r="L3" s="227" t="s">
        <v>153</v>
      </c>
      <c r="M3" s="227" t="s">
        <v>154</v>
      </c>
      <c r="N3" s="11" t="s">
        <v>23</v>
      </c>
      <c r="O3" s="11" t="s">
        <v>78</v>
      </c>
      <c r="P3" s="227" t="s">
        <v>151</v>
      </c>
      <c r="Q3" s="31" t="s">
        <v>157</v>
      </c>
      <c r="R3" s="29" t="s">
        <v>24</v>
      </c>
      <c r="S3" s="29" t="s">
        <v>25</v>
      </c>
      <c r="T3" s="29" t="s">
        <v>26</v>
      </c>
      <c r="U3" s="291"/>
      <c r="V3" s="291"/>
      <c r="W3" s="291"/>
      <c r="X3" s="291"/>
      <c r="Z3" s="51" t="s">
        <v>72</v>
      </c>
      <c r="AA3" s="52">
        <f>AA15</f>
        <v>11929</v>
      </c>
    </row>
    <row r="4" spans="1:32" ht="27" customHeight="1" thickBot="1" x14ac:dyDescent="0.2">
      <c r="C4" s="23" t="s">
        <v>5</v>
      </c>
      <c r="D4" s="226">
        <v>871</v>
      </c>
      <c r="E4" s="226">
        <v>51239</v>
      </c>
      <c r="F4" s="106">
        <v>45365</v>
      </c>
      <c r="G4" s="226">
        <v>3529</v>
      </c>
      <c r="H4" s="145">
        <f t="shared" ref="H4:H15" si="0">E4+G4</f>
        <v>54768</v>
      </c>
      <c r="I4" s="186">
        <f>F4+G4</f>
        <v>48894</v>
      </c>
      <c r="J4" s="226">
        <v>65954</v>
      </c>
      <c r="K4" s="106">
        <v>47666</v>
      </c>
      <c r="L4" s="148">
        <v>12.792984000000001</v>
      </c>
      <c r="M4" s="148">
        <v>527.79510742187506</v>
      </c>
      <c r="N4" s="146">
        <f>M4/365</f>
        <v>1.446013992936644</v>
      </c>
      <c r="O4" s="148">
        <v>5554.9</v>
      </c>
      <c r="P4" s="148">
        <v>649.16</v>
      </c>
      <c r="Q4" s="149">
        <v>22.121728000000001</v>
      </c>
      <c r="R4" s="147">
        <f>$D33</f>
        <v>36.577519000000002</v>
      </c>
      <c r="S4" s="147">
        <f>$D64</f>
        <v>3142.6228653905268</v>
      </c>
      <c r="T4" s="146">
        <f>S4/365</f>
        <v>8.6099256586041832</v>
      </c>
      <c r="Z4" s="292" t="s">
        <v>184</v>
      </c>
      <c r="AA4" s="54" t="str">
        <f>CONCATENATE(FIXED(AA16/1000000,2)," M")</f>
        <v>3.52 M</v>
      </c>
    </row>
    <row r="5" spans="1:32" ht="14" thickBot="1" x14ac:dyDescent="0.2">
      <c r="C5" s="23" t="s">
        <v>6</v>
      </c>
      <c r="D5" s="226">
        <v>91</v>
      </c>
      <c r="E5" s="226">
        <v>130464</v>
      </c>
      <c r="F5" s="106">
        <v>134217</v>
      </c>
      <c r="G5" s="226">
        <v>55168</v>
      </c>
      <c r="H5" s="145">
        <f t="shared" si="0"/>
        <v>185632</v>
      </c>
      <c r="I5" s="186">
        <f t="shared" ref="I5:I15" si="1">F5+G5</f>
        <v>189385</v>
      </c>
      <c r="J5" s="226">
        <v>197225</v>
      </c>
      <c r="K5" s="106">
        <v>227634</v>
      </c>
      <c r="L5" s="148">
        <v>3.5802</v>
      </c>
      <c r="M5" s="148">
        <v>2273.9394824218748</v>
      </c>
      <c r="N5" s="146">
        <f t="shared" ref="N5:N15" si="2">M5/365</f>
        <v>6.2299711847174652</v>
      </c>
      <c r="O5" s="148">
        <v>9657.3361523437507</v>
      </c>
      <c r="P5" s="148">
        <v>2854.0755566406251</v>
      </c>
      <c r="Q5" s="149">
        <v>7.0938559999999997</v>
      </c>
      <c r="R5" s="147">
        <f>$E33</f>
        <v>31.991156</v>
      </c>
      <c r="S5" s="147">
        <f>$E64</f>
        <v>7046.9466499104692</v>
      </c>
      <c r="T5" s="146">
        <f t="shared" ref="T5:T15" si="3">S5/365</f>
        <v>19.306703150439642</v>
      </c>
      <c r="Z5" s="53" t="s">
        <v>180</v>
      </c>
      <c r="AA5" s="54" t="str">
        <f>CONCATENATE(FIXED(AA17/1000000,2)," M")</f>
        <v>3.39 M</v>
      </c>
    </row>
    <row r="6" spans="1:32" ht="27" thickBot="1" x14ac:dyDescent="0.2">
      <c r="C6" s="23" t="s">
        <v>7</v>
      </c>
      <c r="D6" s="226">
        <v>248</v>
      </c>
      <c r="E6" s="226">
        <v>21205</v>
      </c>
      <c r="F6" s="106">
        <v>20405</v>
      </c>
      <c r="G6" s="226">
        <v>287304</v>
      </c>
      <c r="H6" s="145">
        <f t="shared" si="0"/>
        <v>308509</v>
      </c>
      <c r="I6" s="186">
        <f t="shared" si="1"/>
        <v>307709</v>
      </c>
      <c r="J6" s="226">
        <v>26813</v>
      </c>
      <c r="K6" s="106">
        <v>27289</v>
      </c>
      <c r="L6" s="148">
        <v>40.46</v>
      </c>
      <c r="M6" s="148">
        <v>5.99</v>
      </c>
      <c r="N6" s="146">
        <f t="shared" si="2"/>
        <v>1.6410958904109589E-2</v>
      </c>
      <c r="O6" s="148">
        <v>30.91</v>
      </c>
      <c r="P6" s="148">
        <v>4.32376953125</v>
      </c>
      <c r="Q6" s="149">
        <v>29.182441000000001</v>
      </c>
      <c r="R6" s="147">
        <f>$F33</f>
        <v>390.72035199999999</v>
      </c>
      <c r="S6" s="147">
        <f>$F64</f>
        <v>247.40886884517704</v>
      </c>
      <c r="T6" s="146">
        <f t="shared" si="3"/>
        <v>0.67783251738404671</v>
      </c>
      <c r="Z6" s="53" t="s">
        <v>186</v>
      </c>
      <c r="AA6" s="54" t="str">
        <f>CONCATENATE(FIXED(AA18/1000000,2)," M")</f>
        <v>2.72 M</v>
      </c>
    </row>
    <row r="7" spans="1:32" ht="14" thickBot="1" x14ac:dyDescent="0.2">
      <c r="C7" s="23" t="s">
        <v>8</v>
      </c>
      <c r="D7" s="226">
        <v>2054</v>
      </c>
      <c r="E7" s="226">
        <v>104518</v>
      </c>
      <c r="F7" s="106">
        <v>85292</v>
      </c>
      <c r="G7" s="226">
        <v>43304</v>
      </c>
      <c r="H7" s="145">
        <f t="shared" si="0"/>
        <v>147822</v>
      </c>
      <c r="I7" s="186">
        <f t="shared" si="1"/>
        <v>128596</v>
      </c>
      <c r="J7" s="226">
        <v>160944</v>
      </c>
      <c r="K7" s="106">
        <v>135008</v>
      </c>
      <c r="L7" s="148">
        <v>17.661581000000002</v>
      </c>
      <c r="M7" s="148">
        <v>692.69111328124995</v>
      </c>
      <c r="N7" s="146">
        <f t="shared" si="2"/>
        <v>1.8977838720034246</v>
      </c>
      <c r="O7" s="148">
        <v>2478.9318164062502</v>
      </c>
      <c r="P7" s="148">
        <v>610.32086914062495</v>
      </c>
      <c r="Q7" s="149">
        <v>28.530633000000002</v>
      </c>
      <c r="R7" s="147">
        <f>$G33</f>
        <v>408.14651099999998</v>
      </c>
      <c r="S7" s="147">
        <f>$G64</f>
        <v>5609.586306892762</v>
      </c>
      <c r="T7" s="146">
        <f t="shared" si="3"/>
        <v>15.368729607925376</v>
      </c>
      <c r="Z7" s="53" t="s">
        <v>181</v>
      </c>
      <c r="AA7" s="54" t="str">
        <f>CONCATENATE(FIXED(AA19/1000000,2)," M")</f>
        <v>2.33 M</v>
      </c>
    </row>
    <row r="8" spans="1:32" ht="14" thickBot="1" x14ac:dyDescent="0.2">
      <c r="C8" s="23" t="s">
        <v>9</v>
      </c>
      <c r="D8" s="226">
        <v>507</v>
      </c>
      <c r="E8" s="226">
        <v>13275</v>
      </c>
      <c r="F8" s="106">
        <v>7398</v>
      </c>
      <c r="G8" s="226">
        <v>12824</v>
      </c>
      <c r="H8" s="145">
        <f t="shared" si="0"/>
        <v>26099</v>
      </c>
      <c r="I8" s="186">
        <f t="shared" si="1"/>
        <v>20222</v>
      </c>
      <c r="J8" s="226">
        <v>18921</v>
      </c>
      <c r="K8" s="106">
        <v>8500</v>
      </c>
      <c r="L8" s="148">
        <v>5.0999999999999996</v>
      </c>
      <c r="M8" s="148">
        <v>4.7</v>
      </c>
      <c r="N8" s="146">
        <f t="shared" si="2"/>
        <v>1.2876712328767123E-2</v>
      </c>
      <c r="O8" s="148">
        <v>32.299999999999997</v>
      </c>
      <c r="P8" s="148">
        <v>6.1</v>
      </c>
      <c r="Q8" s="149">
        <v>0.91949800000000004</v>
      </c>
      <c r="R8" s="147">
        <f>$H33</f>
        <v>76.927700999999999</v>
      </c>
      <c r="S8" s="147">
        <f>$H64</f>
        <v>26.237466519949471</v>
      </c>
      <c r="T8" s="146">
        <f t="shared" si="3"/>
        <v>7.1883469917669779E-2</v>
      </c>
      <c r="Z8" s="53" t="s">
        <v>73</v>
      </c>
      <c r="AA8" s="54" t="str">
        <f>CONCATENATE(FIXED(M16/365,1)," TB/day")</f>
        <v>20.0 TB/day</v>
      </c>
    </row>
    <row r="9" spans="1:32" ht="14" thickBot="1" x14ac:dyDescent="0.2">
      <c r="C9" s="25" t="s">
        <v>16</v>
      </c>
      <c r="D9" s="226">
        <v>530</v>
      </c>
      <c r="E9" s="226">
        <v>158733</v>
      </c>
      <c r="F9" s="106">
        <v>152381</v>
      </c>
      <c r="G9" s="226">
        <v>244785</v>
      </c>
      <c r="H9" s="145">
        <f t="shared" si="0"/>
        <v>403518</v>
      </c>
      <c r="I9" s="186">
        <f t="shared" si="1"/>
        <v>397166</v>
      </c>
      <c r="J9" s="226">
        <v>213537</v>
      </c>
      <c r="K9" s="106">
        <v>217017</v>
      </c>
      <c r="L9" s="148">
        <v>39.576210000000003</v>
      </c>
      <c r="M9" s="148">
        <v>615.79613281249999</v>
      </c>
      <c r="N9" s="146">
        <f t="shared" si="2"/>
        <v>1.6871126926369864</v>
      </c>
      <c r="O9" s="148">
        <v>3322.23</v>
      </c>
      <c r="P9" s="148">
        <v>507.09657226562501</v>
      </c>
      <c r="Q9" s="149">
        <v>28.645544999999998</v>
      </c>
      <c r="R9" s="147">
        <f>$I33</f>
        <v>276.07118400000002</v>
      </c>
      <c r="S9" s="147">
        <f>$I64</f>
        <v>7854.7410374871542</v>
      </c>
      <c r="T9" s="146">
        <f t="shared" si="3"/>
        <v>21.519838458868914</v>
      </c>
      <c r="Z9" s="53" t="s">
        <v>2</v>
      </c>
      <c r="AA9" s="55" t="str">
        <f>CONCATENATE(FIXED(O16/1024,1)," PB")</f>
        <v>33.6 PB</v>
      </c>
    </row>
    <row r="10" spans="1:32" ht="14" thickBot="1" x14ac:dyDescent="0.2">
      <c r="C10" s="25" t="s">
        <v>133</v>
      </c>
      <c r="D10" s="226">
        <v>1781</v>
      </c>
      <c r="E10" s="226">
        <v>107736</v>
      </c>
      <c r="F10" s="106">
        <v>62430</v>
      </c>
      <c r="G10" s="226">
        <v>286215</v>
      </c>
      <c r="H10" s="145">
        <f t="shared" si="0"/>
        <v>393951</v>
      </c>
      <c r="I10" s="186">
        <f t="shared" si="1"/>
        <v>348645</v>
      </c>
      <c r="J10" s="226">
        <v>145511</v>
      </c>
      <c r="K10" s="106">
        <v>122447</v>
      </c>
      <c r="L10" s="148">
        <v>134.216218</v>
      </c>
      <c r="M10" s="148">
        <v>1907.1185253906251</v>
      </c>
      <c r="N10" s="146">
        <f t="shared" si="2"/>
        <v>5.2249822613441781</v>
      </c>
      <c r="O10" s="148">
        <v>6965.8571582031254</v>
      </c>
      <c r="P10" s="148">
        <v>1457.753134765625</v>
      </c>
      <c r="Q10" s="149">
        <v>77.738185999999999</v>
      </c>
      <c r="R10" s="147">
        <f>$J33</f>
        <v>371.42471999999998</v>
      </c>
      <c r="S10" s="147">
        <f>$J64</f>
        <v>9631.8542780975458</v>
      </c>
      <c r="T10" s="146">
        <f t="shared" si="3"/>
        <v>26.388641857801495</v>
      </c>
      <c r="Z10" s="53" t="s">
        <v>3</v>
      </c>
      <c r="AA10" s="56" t="str">
        <f>CONCATENATE(FIXED(R16+L_Summary_data!Q4,1)," M")</f>
        <v>1,911.7 M</v>
      </c>
    </row>
    <row r="11" spans="1:32" ht="14" thickBot="1" x14ac:dyDescent="0.2">
      <c r="C11" s="25" t="s">
        <v>10</v>
      </c>
      <c r="D11" s="226">
        <v>867</v>
      </c>
      <c r="E11" s="226">
        <v>668488</v>
      </c>
      <c r="F11" s="106">
        <v>529431</v>
      </c>
      <c r="G11" s="226">
        <v>7947</v>
      </c>
      <c r="H11" s="145">
        <f t="shared" si="0"/>
        <v>676435</v>
      </c>
      <c r="I11" s="186">
        <f t="shared" si="1"/>
        <v>537378</v>
      </c>
      <c r="J11" s="226">
        <v>986483</v>
      </c>
      <c r="K11" s="106">
        <v>927701</v>
      </c>
      <c r="L11" s="148">
        <v>26.217226</v>
      </c>
      <c r="M11" s="148">
        <v>450.98175781250001</v>
      </c>
      <c r="N11" s="146">
        <f t="shared" si="2"/>
        <v>1.235566459760274</v>
      </c>
      <c r="O11" s="148">
        <v>1058.0313964843749</v>
      </c>
      <c r="P11" s="148">
        <v>307.30184570312503</v>
      </c>
      <c r="Q11" s="149">
        <v>13.734057</v>
      </c>
      <c r="R11" s="147">
        <f>$K33</f>
        <v>68.86139</v>
      </c>
      <c r="S11" s="147">
        <f>$K64</f>
        <v>741.94191730615671</v>
      </c>
      <c r="T11" s="146">
        <f t="shared" si="3"/>
        <v>2.0327175816607035</v>
      </c>
      <c r="Z11" s="53" t="s">
        <v>74</v>
      </c>
      <c r="AA11" s="54" t="str">
        <f>CONCATENATE(FIXED(S16/365+L_Summary_data!R4/365,1)," TB/day")</f>
        <v>102.8 TB/day</v>
      </c>
    </row>
    <row r="12" spans="1:32" x14ac:dyDescent="0.15">
      <c r="C12" s="25" t="s">
        <v>19</v>
      </c>
      <c r="D12" s="226">
        <v>254</v>
      </c>
      <c r="E12" s="129"/>
      <c r="F12" s="106"/>
      <c r="G12" s="226">
        <v>35520</v>
      </c>
      <c r="H12" s="145">
        <f t="shared" si="0"/>
        <v>35520</v>
      </c>
      <c r="I12" s="186">
        <f t="shared" si="1"/>
        <v>35520</v>
      </c>
      <c r="J12" s="226"/>
      <c r="K12" s="106"/>
      <c r="L12" s="148">
        <v>7.495914</v>
      </c>
      <c r="M12" s="148">
        <v>521.31544921875002</v>
      </c>
      <c r="N12" s="146">
        <f t="shared" si="2"/>
        <v>1.4282615047089042</v>
      </c>
      <c r="O12" s="148">
        <v>4577.28</v>
      </c>
      <c r="P12" s="148">
        <v>1785.8560000000002</v>
      </c>
      <c r="Q12" s="149">
        <v>72.995245999999995</v>
      </c>
      <c r="R12" s="147">
        <f>$L33</f>
        <v>38.363185000000001</v>
      </c>
      <c r="S12" s="147">
        <f>$L64</f>
        <v>1419.2565291333219</v>
      </c>
      <c r="T12" s="146">
        <f t="shared" si="3"/>
        <v>3.8883740524200601</v>
      </c>
    </row>
    <row r="13" spans="1:32" x14ac:dyDescent="0.15">
      <c r="C13" s="25" t="s">
        <v>11</v>
      </c>
      <c r="D13" s="226">
        <v>2472</v>
      </c>
      <c r="E13" s="226">
        <v>37411</v>
      </c>
      <c r="F13" s="106">
        <v>45672</v>
      </c>
      <c r="G13" s="226">
        <v>12627</v>
      </c>
      <c r="H13" s="145">
        <f t="shared" si="0"/>
        <v>50038</v>
      </c>
      <c r="I13" s="186">
        <f t="shared" si="1"/>
        <v>58299</v>
      </c>
      <c r="J13" s="226">
        <v>50038</v>
      </c>
      <c r="K13" s="106">
        <v>61588</v>
      </c>
      <c r="L13" s="148">
        <v>7.8829330000000004</v>
      </c>
      <c r="M13" s="148">
        <v>138.18</v>
      </c>
      <c r="N13" s="146">
        <f t="shared" si="2"/>
        <v>0.37857534246575342</v>
      </c>
      <c r="O13" s="148">
        <v>260.52</v>
      </c>
      <c r="P13" s="148">
        <v>20.701494140625002</v>
      </c>
      <c r="Q13" s="149">
        <v>0.38170100000000001</v>
      </c>
      <c r="R13" s="147">
        <f>$M33</f>
        <v>52.227103999999997</v>
      </c>
      <c r="S13" s="147">
        <f>$M64</f>
        <v>334.68256025501478</v>
      </c>
      <c r="T13" s="146">
        <f t="shared" si="3"/>
        <v>0.91693852124661579</v>
      </c>
      <c r="AC13" t="s">
        <v>112</v>
      </c>
    </row>
    <row r="14" spans="1:32" ht="26" customHeight="1" thickBot="1" x14ac:dyDescent="0.2">
      <c r="C14" s="25" t="s">
        <v>14</v>
      </c>
      <c r="D14" s="226">
        <v>1281</v>
      </c>
      <c r="E14" s="226">
        <v>32997</v>
      </c>
      <c r="F14" s="106">
        <v>38963</v>
      </c>
      <c r="G14" s="226">
        <v>41423</v>
      </c>
      <c r="H14" s="145">
        <f t="shared" si="0"/>
        <v>74420</v>
      </c>
      <c r="I14" s="186">
        <f t="shared" si="1"/>
        <v>80386</v>
      </c>
      <c r="J14" s="226">
        <v>47740</v>
      </c>
      <c r="K14" s="106">
        <v>54854</v>
      </c>
      <c r="L14" s="148">
        <v>2.8072750000000002</v>
      </c>
      <c r="M14" s="148">
        <v>142.97</v>
      </c>
      <c r="N14" s="146">
        <f t="shared" si="2"/>
        <v>0.3916986301369863</v>
      </c>
      <c r="O14" s="148">
        <v>456.55</v>
      </c>
      <c r="P14" s="148">
        <v>73.148105468750003</v>
      </c>
      <c r="Q14" s="149">
        <v>2.3917639999999998</v>
      </c>
      <c r="R14" s="147">
        <f>$N33</f>
        <v>68.885910999999993</v>
      </c>
      <c r="S14" s="147">
        <f>$N64</f>
        <v>608.16590161141198</v>
      </c>
      <c r="T14" s="146">
        <f t="shared" si="3"/>
        <v>1.6662079496203068</v>
      </c>
      <c r="AA14" t="s">
        <v>168</v>
      </c>
      <c r="AC14" t="s">
        <v>110</v>
      </c>
    </row>
    <row r="15" spans="1:32" ht="14" thickBot="1" x14ac:dyDescent="0.2">
      <c r="C15" s="25" t="s">
        <v>12</v>
      </c>
      <c r="D15" s="226">
        <v>414</v>
      </c>
      <c r="E15" s="226">
        <v>89647</v>
      </c>
      <c r="F15" s="106">
        <v>92528</v>
      </c>
      <c r="G15" s="226">
        <v>97172</v>
      </c>
      <c r="H15" s="145">
        <f t="shared" si="0"/>
        <v>186819</v>
      </c>
      <c r="I15" s="186">
        <f t="shared" si="1"/>
        <v>189700</v>
      </c>
      <c r="J15" s="226">
        <v>116957</v>
      </c>
      <c r="K15" s="106">
        <v>116716</v>
      </c>
      <c r="L15" s="148">
        <v>8.3999999999999995E-5</v>
      </c>
      <c r="M15" s="148">
        <v>0.76539062499999999</v>
      </c>
      <c r="N15" s="146">
        <f t="shared" si="2"/>
        <v>2.0969606164383562E-3</v>
      </c>
      <c r="O15" s="148">
        <v>7.0993457031249996</v>
      </c>
      <c r="P15" s="148">
        <v>2.45314453125</v>
      </c>
      <c r="Q15" s="149">
        <v>6.8999999999999997E-5</v>
      </c>
      <c r="R15" s="147">
        <f>$O33</f>
        <v>1.3879220000000001</v>
      </c>
      <c r="S15" s="147">
        <f>$O64</f>
        <v>13.233766058233382</v>
      </c>
      <c r="T15" s="146">
        <f t="shared" si="3"/>
        <v>3.6256893310228445E-2</v>
      </c>
      <c r="Z15" s="263" t="s">
        <v>72</v>
      </c>
      <c r="AA15" s="273">
        <v>11929</v>
      </c>
      <c r="AC15" t="s">
        <v>111</v>
      </c>
    </row>
    <row r="16" spans="1:32" s="3" customFormat="1" ht="22" customHeight="1" thickBot="1" x14ac:dyDescent="0.2">
      <c r="A16"/>
      <c r="B16"/>
      <c r="C16" s="26" t="s">
        <v>13</v>
      </c>
      <c r="D16" s="8">
        <f t="shared" ref="D16:M16" si="4">SUM(D4:D15)</f>
        <v>11370</v>
      </c>
      <c r="E16" s="8">
        <f t="shared" si="4"/>
        <v>1415713</v>
      </c>
      <c r="F16" s="8"/>
      <c r="G16" s="8">
        <f t="shared" si="4"/>
        <v>1127818</v>
      </c>
      <c r="H16" s="8">
        <f t="shared" si="4"/>
        <v>2543531</v>
      </c>
      <c r="I16" s="8">
        <f>SUM(I4:I15)</f>
        <v>2341900</v>
      </c>
      <c r="J16" s="8">
        <f t="shared" ref="J16" si="5">SUM(J4:J15)</f>
        <v>2030123</v>
      </c>
      <c r="K16" s="8">
        <f t="shared" si="4"/>
        <v>1946420</v>
      </c>
      <c r="L16" s="9">
        <f t="shared" si="4"/>
        <v>297.79062500000003</v>
      </c>
      <c r="M16" s="9">
        <f t="shared" si="4"/>
        <v>7282.242958984375</v>
      </c>
      <c r="N16" s="10">
        <f>M16/365</f>
        <v>19.951350572559932</v>
      </c>
      <c r="O16" s="9">
        <f>SUM(O4:O15)</f>
        <v>34401.945869140618</v>
      </c>
      <c r="P16" s="9">
        <f>SUM(P4:P15)</f>
        <v>8278.2904921874997</v>
      </c>
      <c r="Q16" s="9">
        <f>SUM(Q4:Q15)</f>
        <v>283.73472400000009</v>
      </c>
      <c r="R16" s="9">
        <f>SUM(R4:R15)</f>
        <v>1821.5846549999999</v>
      </c>
      <c r="S16" s="9">
        <f>SUM(S4:S15)</f>
        <v>36676.67814750773</v>
      </c>
      <c r="Z16" s="264" t="s">
        <v>184</v>
      </c>
      <c r="AA16" s="274">
        <v>3524431</v>
      </c>
      <c r="AB16"/>
      <c r="AC16"/>
    </row>
    <row r="17" spans="1:28" s="3" customFormat="1" ht="14" thickBot="1" x14ac:dyDescent="0.2">
      <c r="A17" s="262"/>
      <c r="B17" s="262"/>
      <c r="C17" s="269" t="s">
        <v>122</v>
      </c>
      <c r="D17" s="269" t="s">
        <v>123</v>
      </c>
      <c r="E17" s="269" t="s">
        <v>124</v>
      </c>
      <c r="F17" s="269"/>
      <c r="G17" s="269" t="s">
        <v>125</v>
      </c>
      <c r="H17" s="269"/>
      <c r="I17" s="269"/>
      <c r="J17" s="271" t="s">
        <v>124</v>
      </c>
      <c r="K17" s="271" t="s">
        <v>124</v>
      </c>
      <c r="L17" s="270" t="s">
        <v>126</v>
      </c>
      <c r="M17" s="270" t="s">
        <v>127</v>
      </c>
      <c r="N17" s="269"/>
      <c r="O17" s="269" t="s">
        <v>128</v>
      </c>
      <c r="P17" s="270" t="s">
        <v>127</v>
      </c>
      <c r="Q17" s="270" t="s">
        <v>127</v>
      </c>
      <c r="R17" s="269"/>
      <c r="S17" s="269"/>
      <c r="T17" s="269"/>
      <c r="U17" s="269"/>
      <c r="V17" s="269"/>
      <c r="W17" s="269"/>
      <c r="X17" s="269"/>
      <c r="Z17" s="264" t="s">
        <v>185</v>
      </c>
      <c r="AA17" s="274">
        <v>3392960</v>
      </c>
      <c r="AB17"/>
    </row>
    <row r="18" spans="1:28" s="3" customFormat="1" ht="27" thickBot="1" x14ac:dyDescent="0.2">
      <c r="A18"/>
      <c r="B18"/>
      <c r="N18" s="3" t="s">
        <v>89</v>
      </c>
      <c r="Z18" s="264" t="s">
        <v>186</v>
      </c>
      <c r="AA18" s="274">
        <v>2715910</v>
      </c>
      <c r="AB18"/>
    </row>
    <row r="19" spans="1:28" ht="14" thickBot="1" x14ac:dyDescent="0.2">
      <c r="C19" s="39" t="s">
        <v>68</v>
      </c>
      <c r="I19" s="3"/>
      <c r="J19" s="3"/>
      <c r="K19" s="3"/>
      <c r="M19" s="3"/>
      <c r="N19" s="3"/>
      <c r="O19" s="3"/>
      <c r="Z19" s="264" t="s">
        <v>181</v>
      </c>
      <c r="AA19" s="274">
        <v>2330204</v>
      </c>
    </row>
    <row r="20" spans="1:28" ht="14" thickBot="1" x14ac:dyDescent="0.2">
      <c r="C20" t="s">
        <v>49</v>
      </c>
      <c r="D20" s="23" t="s">
        <v>5</v>
      </c>
      <c r="E20" s="23" t="s">
        <v>6</v>
      </c>
      <c r="F20" s="23" t="s">
        <v>7</v>
      </c>
      <c r="G20" s="23" t="s">
        <v>8</v>
      </c>
      <c r="H20" s="49" t="s">
        <v>9</v>
      </c>
      <c r="I20" s="25" t="s">
        <v>16</v>
      </c>
      <c r="J20" s="25" t="s">
        <v>133</v>
      </c>
      <c r="K20" s="25" t="s">
        <v>10</v>
      </c>
      <c r="L20" s="25" t="s">
        <v>19</v>
      </c>
      <c r="M20" s="25" t="s">
        <v>11</v>
      </c>
      <c r="N20" s="25" t="s">
        <v>14</v>
      </c>
      <c r="O20" s="25" t="s">
        <v>12</v>
      </c>
      <c r="P20" s="26" t="s">
        <v>13</v>
      </c>
      <c r="R20" s="50"/>
      <c r="S20" s="50"/>
      <c r="T20" s="50"/>
      <c r="U20" s="50"/>
      <c r="V20" s="50"/>
      <c r="W20" s="50"/>
      <c r="X20" s="50"/>
      <c r="Z20" s="264" t="s">
        <v>73</v>
      </c>
      <c r="AA20" s="54" t="str">
        <f>CONCATENATE(FIXED(M16*1024/365,1)," GB/day")</f>
        <v>20,430.2 GB/day</v>
      </c>
    </row>
    <row r="21" spans="1:28" ht="15" thickBot="1" x14ac:dyDescent="0.2">
      <c r="C21" s="32" t="s">
        <v>61</v>
      </c>
      <c r="D21" s="160">
        <f t="shared" ref="D21:O21" si="6">D36/1000000</f>
        <v>0</v>
      </c>
      <c r="E21" s="160">
        <f t="shared" si="6"/>
        <v>0</v>
      </c>
      <c r="F21" s="160">
        <f t="shared" si="6"/>
        <v>0</v>
      </c>
      <c r="G21" s="160">
        <f t="shared" si="6"/>
        <v>22.917339999999999</v>
      </c>
      <c r="H21" s="160">
        <f t="shared" si="6"/>
        <v>0</v>
      </c>
      <c r="I21" s="160">
        <f t="shared" si="6"/>
        <v>0.148617</v>
      </c>
      <c r="J21" s="160">
        <f t="shared" si="6"/>
        <v>33.570419000000001</v>
      </c>
      <c r="K21" s="160">
        <f t="shared" si="6"/>
        <v>0.64234100000000005</v>
      </c>
      <c r="L21" s="160">
        <f t="shared" si="6"/>
        <v>0</v>
      </c>
      <c r="M21" s="160">
        <f t="shared" si="6"/>
        <v>0</v>
      </c>
      <c r="N21" s="160">
        <f t="shared" si="6"/>
        <v>0</v>
      </c>
      <c r="O21" s="160">
        <f t="shared" si="6"/>
        <v>0</v>
      </c>
      <c r="P21" s="160">
        <f>SUM(D21:O21)</f>
        <v>57.278717</v>
      </c>
      <c r="Z21" s="264" t="s">
        <v>2</v>
      </c>
      <c r="AA21" s="55" t="str">
        <f>CONCATENATE(FIXED(O16,1)," TB")</f>
        <v>34,401.9 TB</v>
      </c>
    </row>
    <row r="22" spans="1:28" ht="66" thickBot="1" x14ac:dyDescent="0.2">
      <c r="C22" s="32" t="s">
        <v>39</v>
      </c>
      <c r="D22" s="160">
        <f t="shared" ref="D22:O22" si="7">D37/1000000</f>
        <v>3.5718839999999998</v>
      </c>
      <c r="E22" s="160">
        <f t="shared" si="7"/>
        <v>0.30386999999999997</v>
      </c>
      <c r="F22" s="160">
        <f t="shared" si="7"/>
        <v>0</v>
      </c>
      <c r="G22" s="160">
        <f t="shared" si="7"/>
        <v>38.747579999999999</v>
      </c>
      <c r="H22" s="160">
        <f t="shared" si="7"/>
        <v>10.177527</v>
      </c>
      <c r="I22" s="160">
        <f t="shared" si="7"/>
        <v>16.757476</v>
      </c>
      <c r="J22" s="160">
        <f t="shared" si="7"/>
        <v>47.736139999999999</v>
      </c>
      <c r="K22" s="160">
        <f t="shared" si="7"/>
        <v>10.732725</v>
      </c>
      <c r="L22" s="160">
        <f t="shared" si="7"/>
        <v>10.672893999999999</v>
      </c>
      <c r="M22" s="160">
        <f t="shared" si="7"/>
        <v>0.39932299999999998</v>
      </c>
      <c r="N22" s="160">
        <f t="shared" si="7"/>
        <v>16.487646000000002</v>
      </c>
      <c r="O22" s="160">
        <f t="shared" si="7"/>
        <v>7.4131000000000002E-2</v>
      </c>
      <c r="P22" s="160">
        <f>SUM(D22:O22)</f>
        <v>155.66119599999999</v>
      </c>
      <c r="Y22" s="121" t="s">
        <v>101</v>
      </c>
      <c r="Z22" s="264" t="s">
        <v>3</v>
      </c>
      <c r="AA22" s="56" t="str">
        <f>CONCATENATE(FIXED(R16+L_Summary_data!Q4,1)," M")</f>
        <v>1,911.7 M</v>
      </c>
    </row>
    <row r="23" spans="1:28" ht="15" thickBot="1" x14ac:dyDescent="0.2">
      <c r="C23" s="32" t="s">
        <v>40</v>
      </c>
      <c r="D23" s="160">
        <f t="shared" ref="D23:O23" si="8">D38/1000000</f>
        <v>5.1073000000000004</v>
      </c>
      <c r="E23" s="160">
        <f t="shared" si="8"/>
        <v>0.47285700000000003</v>
      </c>
      <c r="F23" s="160">
        <f t="shared" si="8"/>
        <v>37.058059999999998</v>
      </c>
      <c r="G23" s="160">
        <f t="shared" si="8"/>
        <v>54.500664</v>
      </c>
      <c r="H23" s="160">
        <f t="shared" si="8"/>
        <v>5.6774750000000003</v>
      </c>
      <c r="I23" s="160">
        <f t="shared" si="8"/>
        <v>38.827043000000003</v>
      </c>
      <c r="J23" s="160">
        <f t="shared" si="8"/>
        <v>47.205446000000002</v>
      </c>
      <c r="K23" s="160">
        <f t="shared" si="8"/>
        <v>17.247733</v>
      </c>
      <c r="L23" s="160">
        <f t="shared" si="8"/>
        <v>8.655132</v>
      </c>
      <c r="M23" s="160">
        <f t="shared" si="8"/>
        <v>7.6994199999999999</v>
      </c>
      <c r="N23" s="160">
        <f t="shared" si="8"/>
        <v>31.722079000000001</v>
      </c>
      <c r="O23" s="160">
        <f t="shared" si="8"/>
        <v>0.49062</v>
      </c>
      <c r="P23" s="160">
        <f t="shared" ref="P23:P29" si="9">SUM(D23:O23)</f>
        <v>254.66382900000002</v>
      </c>
      <c r="Z23" s="264" t="s">
        <v>74</v>
      </c>
      <c r="AA23" s="54" t="str">
        <f>CONCATENATE(FIXED((S16+L_Summary_data!R4)*1024/365,1)," GB/day")</f>
        <v>105,259.0 GB/day</v>
      </c>
    </row>
    <row r="24" spans="1:28" ht="14" x14ac:dyDescent="0.15">
      <c r="C24" s="32" t="s">
        <v>41</v>
      </c>
      <c r="D24" s="160">
        <f t="shared" ref="D24:O24" si="10">D39/1000000</f>
        <v>4.4062020000000004</v>
      </c>
      <c r="E24" s="160">
        <f t="shared" si="10"/>
        <v>0.101671</v>
      </c>
      <c r="F24" s="160">
        <f t="shared" si="10"/>
        <v>52.599871</v>
      </c>
      <c r="G24" s="160">
        <f t="shared" si="10"/>
        <v>84.223157999999998</v>
      </c>
      <c r="H24" s="160">
        <f t="shared" si="10"/>
        <v>0.65940500000000002</v>
      </c>
      <c r="I24" s="160">
        <f t="shared" si="10"/>
        <v>51.945273</v>
      </c>
      <c r="J24" s="160">
        <f t="shared" si="10"/>
        <v>79.756398000000004</v>
      </c>
      <c r="K24" s="160">
        <f t="shared" si="10"/>
        <v>22.897912999999999</v>
      </c>
      <c r="L24" s="160">
        <f t="shared" si="10"/>
        <v>12.42596</v>
      </c>
      <c r="M24" s="160">
        <f t="shared" si="10"/>
        <v>49.882874999999999</v>
      </c>
      <c r="N24" s="160">
        <f t="shared" si="10"/>
        <v>50.334622000000003</v>
      </c>
      <c r="O24" s="160">
        <f t="shared" si="10"/>
        <v>3.5663849999999999</v>
      </c>
      <c r="P24" s="160">
        <f t="shared" si="9"/>
        <v>412.799733</v>
      </c>
    </row>
    <row r="25" spans="1:28" ht="14" x14ac:dyDescent="0.15">
      <c r="C25" s="32" t="s">
        <v>42</v>
      </c>
      <c r="D25" s="160">
        <f t="shared" ref="D25:O25" si="11">D40/1000000</f>
        <v>5.042249</v>
      </c>
      <c r="E25" s="160">
        <f t="shared" si="11"/>
        <v>0.36860900000000002</v>
      </c>
      <c r="F25" s="160">
        <f t="shared" si="11"/>
        <v>112.330657</v>
      </c>
      <c r="G25" s="160">
        <f t="shared" si="11"/>
        <v>133.841386</v>
      </c>
      <c r="H25" s="160">
        <f t="shared" si="11"/>
        <v>0.72013300000000002</v>
      </c>
      <c r="I25" s="160">
        <f t="shared" si="11"/>
        <v>63.965963000000002</v>
      </c>
      <c r="J25" s="160">
        <f t="shared" si="11"/>
        <v>98.766036999999997</v>
      </c>
      <c r="K25" s="160">
        <f t="shared" si="11"/>
        <v>20.180631999999999</v>
      </c>
      <c r="L25" s="160">
        <f t="shared" si="11"/>
        <v>20.538207</v>
      </c>
      <c r="M25" s="160">
        <f t="shared" si="11"/>
        <v>3.194725</v>
      </c>
      <c r="N25" s="160">
        <f t="shared" si="11"/>
        <v>38.272939999999998</v>
      </c>
      <c r="O25" s="160">
        <f t="shared" si="11"/>
        <v>4.1586509999999999</v>
      </c>
      <c r="P25" s="160">
        <f t="shared" si="9"/>
        <v>501.38018900000003</v>
      </c>
      <c r="AA25" s="38"/>
    </row>
    <row r="26" spans="1:28" ht="14" x14ac:dyDescent="0.15">
      <c r="C26" s="32" t="s">
        <v>43</v>
      </c>
      <c r="D26" s="160">
        <f t="shared" ref="D26:O26" si="12">D41/1000000</f>
        <v>10.626249</v>
      </c>
      <c r="E26" s="160">
        <f t="shared" si="12"/>
        <v>0.846248</v>
      </c>
      <c r="F26" s="160">
        <f t="shared" si="12"/>
        <v>120.025964</v>
      </c>
      <c r="G26" s="160">
        <f t="shared" si="12"/>
        <v>168.67674700000001</v>
      </c>
      <c r="H26" s="160">
        <f t="shared" si="12"/>
        <v>0.79108500000000004</v>
      </c>
      <c r="I26" s="160">
        <f t="shared" si="12"/>
        <v>70.588599000000002</v>
      </c>
      <c r="J26" s="160">
        <f t="shared" si="12"/>
        <v>95.246110000000002</v>
      </c>
      <c r="K26" s="160">
        <f t="shared" si="12"/>
        <v>24.339347</v>
      </c>
      <c r="L26" s="160">
        <f t="shared" si="12"/>
        <v>16.768246000000001</v>
      </c>
      <c r="M26" s="160">
        <f t="shared" si="12"/>
        <v>6.7061929999999998</v>
      </c>
      <c r="N26" s="160">
        <f t="shared" si="12"/>
        <v>54.068233999999997</v>
      </c>
      <c r="O26" s="160">
        <f t="shared" si="12"/>
        <v>1.5993269999999999</v>
      </c>
      <c r="P26" s="160">
        <f t="shared" si="9"/>
        <v>570.28234899999995</v>
      </c>
    </row>
    <row r="27" spans="1:28" ht="14" x14ac:dyDescent="0.15">
      <c r="C27" s="32" t="s">
        <v>44</v>
      </c>
      <c r="D27" s="160">
        <f t="shared" ref="D27:O27" si="13">D42/1000000</f>
        <v>10.212370999999999</v>
      </c>
      <c r="E27" s="160">
        <f t="shared" si="13"/>
        <v>0.67360799999999998</v>
      </c>
      <c r="F27" s="160">
        <f t="shared" si="13"/>
        <v>120.930572</v>
      </c>
      <c r="G27" s="160">
        <f t="shared" si="13"/>
        <v>209.906859</v>
      </c>
      <c r="H27" s="160">
        <f t="shared" si="13"/>
        <v>4.4349480000000003</v>
      </c>
      <c r="I27" s="160">
        <f t="shared" si="13"/>
        <v>111.743424</v>
      </c>
      <c r="J27" s="160">
        <f t="shared" si="13"/>
        <v>135.28649799999999</v>
      </c>
      <c r="K27" s="160">
        <f t="shared" si="13"/>
        <v>38.223084999999998</v>
      </c>
      <c r="L27" s="160">
        <f t="shared" si="13"/>
        <v>18.293759999999999</v>
      </c>
      <c r="M27" s="160">
        <f t="shared" si="13"/>
        <v>5.756697</v>
      </c>
      <c r="N27" s="160">
        <f t="shared" si="13"/>
        <v>89.251096000000004</v>
      </c>
      <c r="O27" s="160">
        <f t="shared" si="13"/>
        <v>4.6872220000000002</v>
      </c>
      <c r="P27" s="160">
        <f t="shared" si="9"/>
        <v>749.40014000000008</v>
      </c>
    </row>
    <row r="28" spans="1:28" ht="14" x14ac:dyDescent="0.15">
      <c r="C28" s="32" t="s">
        <v>45</v>
      </c>
      <c r="D28" s="160">
        <f t="shared" ref="D28:O33" si="14">D43/1000000</f>
        <v>15.472293000000001</v>
      </c>
      <c r="E28" s="160">
        <f t="shared" si="14"/>
        <v>1.1101460000000001</v>
      </c>
      <c r="F28" s="160">
        <f t="shared" si="14"/>
        <v>144.29374799999999</v>
      </c>
      <c r="G28" s="160">
        <f t="shared" si="14"/>
        <v>283.25595800000002</v>
      </c>
      <c r="H28" s="160">
        <f t="shared" si="14"/>
        <v>4.4983519999999997</v>
      </c>
      <c r="I28" s="160">
        <f t="shared" si="14"/>
        <v>127.080485</v>
      </c>
      <c r="J28" s="160">
        <f t="shared" si="14"/>
        <v>196.13767899999999</v>
      </c>
      <c r="K28" s="160">
        <f t="shared" si="14"/>
        <v>67.730322000000001</v>
      </c>
      <c r="L28" s="160">
        <f t="shared" si="14"/>
        <v>27.464272000000001</v>
      </c>
      <c r="M28" s="160">
        <f t="shared" si="14"/>
        <v>13.607626</v>
      </c>
      <c r="N28" s="160">
        <f t="shared" si="14"/>
        <v>71.263045000000005</v>
      </c>
      <c r="O28" s="160">
        <f t="shared" si="14"/>
        <v>6.3922129999999999</v>
      </c>
      <c r="P28" s="160">
        <f t="shared" si="9"/>
        <v>958.30613900000003</v>
      </c>
    </row>
    <row r="29" spans="1:28" ht="14" x14ac:dyDescent="0.15">
      <c r="C29" s="32" t="s">
        <v>47</v>
      </c>
      <c r="D29" s="160">
        <f t="shared" si="14"/>
        <v>15.943277</v>
      </c>
      <c r="E29" s="160">
        <f t="shared" si="14"/>
        <v>2.0008599999999999</v>
      </c>
      <c r="F29" s="160">
        <f t="shared" si="14"/>
        <v>172.03639100000001</v>
      </c>
      <c r="G29" s="160">
        <f t="shared" si="14"/>
        <v>405.060654</v>
      </c>
      <c r="H29" s="160">
        <f t="shared" si="14"/>
        <v>6.3843249999999996</v>
      </c>
      <c r="I29" s="160">
        <f t="shared" si="14"/>
        <v>163.27644599999999</v>
      </c>
      <c r="J29" s="160">
        <f t="shared" si="14"/>
        <v>360.64454699999999</v>
      </c>
      <c r="K29" s="160">
        <f t="shared" si="14"/>
        <v>70.647366000000005</v>
      </c>
      <c r="L29" s="160">
        <f t="shared" si="14"/>
        <v>56.956518000000003</v>
      </c>
      <c r="M29" s="160">
        <f t="shared" si="14"/>
        <v>13.084823</v>
      </c>
      <c r="N29" s="160">
        <f t="shared" si="14"/>
        <v>77.176446999999996</v>
      </c>
      <c r="O29" s="160">
        <f t="shared" si="14"/>
        <v>7.6517379999999999</v>
      </c>
      <c r="P29" s="160">
        <f t="shared" si="9"/>
        <v>1350.863392</v>
      </c>
    </row>
    <row r="30" spans="1:28" ht="14" x14ac:dyDescent="0.15">
      <c r="C30" s="32" t="s">
        <v>79</v>
      </c>
      <c r="D30" s="160">
        <f t="shared" si="14"/>
        <v>18.483861999999998</v>
      </c>
      <c r="E30" s="160">
        <f t="shared" si="14"/>
        <v>5.1804249999999996</v>
      </c>
      <c r="F30" s="160">
        <f t="shared" si="14"/>
        <v>316.508622</v>
      </c>
      <c r="G30" s="160">
        <f t="shared" si="14"/>
        <v>409.16399200000001</v>
      </c>
      <c r="H30" s="160">
        <f t="shared" si="14"/>
        <v>3.9329890000000001</v>
      </c>
      <c r="I30" s="160">
        <f t="shared" si="14"/>
        <v>174.59097600000001</v>
      </c>
      <c r="J30" s="160">
        <f t="shared" si="14"/>
        <v>230.71311800000001</v>
      </c>
      <c r="K30" s="160">
        <f t="shared" si="14"/>
        <v>82.185432000000006</v>
      </c>
      <c r="L30" s="160">
        <f t="shared" si="14"/>
        <v>65.432243</v>
      </c>
      <c r="M30" s="160">
        <f t="shared" si="14"/>
        <v>31.550469</v>
      </c>
      <c r="N30" s="160">
        <f t="shared" si="14"/>
        <v>93.017982000000003</v>
      </c>
      <c r="O30" s="160">
        <f t="shared" si="14"/>
        <v>5.7873919999999996</v>
      </c>
      <c r="P30" s="160">
        <f>SUM(D30:O30)</f>
        <v>1436.5475020000001</v>
      </c>
    </row>
    <row r="31" spans="1:28" ht="14" x14ac:dyDescent="0.15">
      <c r="C31" s="32" t="s">
        <v>99</v>
      </c>
      <c r="D31" s="160">
        <f t="shared" si="14"/>
        <v>31.037472000000001</v>
      </c>
      <c r="E31" s="160">
        <f t="shared" si="14"/>
        <v>6.6679250000000003</v>
      </c>
      <c r="F31" s="160">
        <f t="shared" si="14"/>
        <v>384.034918</v>
      </c>
      <c r="G31" s="160">
        <f t="shared" si="14"/>
        <v>257.50330300000002</v>
      </c>
      <c r="H31" s="160">
        <f t="shared" si="14"/>
        <v>6.8701800000000004</v>
      </c>
      <c r="I31" s="160">
        <f t="shared" si="14"/>
        <v>208.186137</v>
      </c>
      <c r="J31" s="160">
        <f t="shared" si="14"/>
        <v>107.761906</v>
      </c>
      <c r="K31" s="160">
        <f t="shared" si="14"/>
        <v>102.272879</v>
      </c>
      <c r="L31" s="160">
        <f t="shared" si="14"/>
        <v>47.917738</v>
      </c>
      <c r="M31" s="160">
        <f t="shared" si="14"/>
        <v>26.890238</v>
      </c>
      <c r="N31" s="160">
        <f t="shared" si="14"/>
        <v>87.788122999999999</v>
      </c>
      <c r="O31" s="160">
        <f t="shared" si="14"/>
        <v>3.5554549999999998</v>
      </c>
      <c r="P31" s="160">
        <f>SUM(D31:O31)</f>
        <v>1270.4862740000001</v>
      </c>
    </row>
    <row r="32" spans="1:28" ht="14" x14ac:dyDescent="0.15">
      <c r="C32" s="32" t="s">
        <v>107</v>
      </c>
      <c r="D32" s="160">
        <f t="shared" si="14"/>
        <v>26.575334999999999</v>
      </c>
      <c r="E32" s="160">
        <f t="shared" si="14"/>
        <v>11.235903</v>
      </c>
      <c r="F32" s="160">
        <f t="shared" si="14"/>
        <v>348.31492200000002</v>
      </c>
      <c r="G32" s="160">
        <f t="shared" si="14"/>
        <v>297.73108400000001</v>
      </c>
      <c r="H32" s="160">
        <f t="shared" si="14"/>
        <v>7.1144410000000002</v>
      </c>
      <c r="I32" s="160">
        <f t="shared" si="14"/>
        <v>249.38378800000001</v>
      </c>
      <c r="J32" s="160">
        <f t="shared" si="14"/>
        <v>239.952279</v>
      </c>
      <c r="K32" s="160">
        <f t="shared" si="14"/>
        <v>157.13142500000001</v>
      </c>
      <c r="L32" s="160">
        <f t="shared" si="14"/>
        <v>55.382038000000001</v>
      </c>
      <c r="M32" s="160">
        <f t="shared" si="14"/>
        <v>34.901304000000003</v>
      </c>
      <c r="N32" s="160">
        <f t="shared" si="14"/>
        <v>48.444204999999997</v>
      </c>
      <c r="O32" s="160">
        <f t="shared" si="14"/>
        <v>0.89733200000000002</v>
      </c>
      <c r="P32" s="160">
        <f>SUM(D32:O32)</f>
        <v>1477.0640560000002</v>
      </c>
    </row>
    <row r="33" spans="3:22" ht="14" x14ac:dyDescent="0.15">
      <c r="C33" s="32" t="s">
        <v>149</v>
      </c>
      <c r="D33" s="160">
        <f t="shared" si="14"/>
        <v>36.577519000000002</v>
      </c>
      <c r="E33" s="160">
        <f t="shared" si="14"/>
        <v>31.991156</v>
      </c>
      <c r="F33" s="160">
        <f t="shared" si="14"/>
        <v>390.72035199999999</v>
      </c>
      <c r="G33" s="160">
        <f t="shared" si="14"/>
        <v>408.14651099999998</v>
      </c>
      <c r="H33" s="160">
        <f t="shared" si="14"/>
        <v>76.927700999999999</v>
      </c>
      <c r="I33" s="160">
        <f t="shared" si="14"/>
        <v>276.07118400000002</v>
      </c>
      <c r="J33" s="160">
        <f t="shared" si="14"/>
        <v>371.42471999999998</v>
      </c>
      <c r="K33" s="160">
        <f t="shared" si="14"/>
        <v>68.86139</v>
      </c>
      <c r="L33" s="160">
        <f t="shared" si="14"/>
        <v>38.363185000000001</v>
      </c>
      <c r="M33" s="160">
        <f t="shared" si="14"/>
        <v>52.227103999999997</v>
      </c>
      <c r="N33" s="160">
        <f t="shared" si="14"/>
        <v>68.885910999999993</v>
      </c>
      <c r="O33" s="160">
        <f t="shared" si="14"/>
        <v>1.3879220000000001</v>
      </c>
      <c r="P33" s="160">
        <f>SUM(D33:O33)</f>
        <v>1821.5846549999999</v>
      </c>
    </row>
    <row r="34" spans="3:22" x14ac:dyDescent="0.15">
      <c r="C34" s="39" t="s">
        <v>67</v>
      </c>
      <c r="D34" s="116"/>
      <c r="E34" s="116"/>
      <c r="F34" s="116"/>
      <c r="G34" s="116"/>
      <c r="H34" s="115"/>
      <c r="I34" s="115"/>
      <c r="J34" s="116"/>
      <c r="K34" s="115"/>
      <c r="L34" s="115"/>
      <c r="M34" s="115"/>
      <c r="N34" s="116"/>
      <c r="O34" s="116"/>
      <c r="P34" s="116"/>
      <c r="R34" s="38"/>
      <c r="S34" s="38"/>
      <c r="T34" s="38"/>
      <c r="U34" s="38"/>
      <c r="V34" s="38"/>
    </row>
    <row r="35" spans="3:22" x14ac:dyDescent="0.15">
      <c r="C35" t="s">
        <v>49</v>
      </c>
      <c r="D35" s="152" t="s">
        <v>5</v>
      </c>
      <c r="E35" s="152" t="s">
        <v>6</v>
      </c>
      <c r="F35" s="152" t="s">
        <v>7</v>
      </c>
      <c r="G35" s="153" t="s">
        <v>8</v>
      </c>
      <c r="H35" s="153" t="s">
        <v>9</v>
      </c>
      <c r="I35" s="154" t="s">
        <v>16</v>
      </c>
      <c r="J35" s="154" t="s">
        <v>133</v>
      </c>
      <c r="K35" s="154" t="s">
        <v>10</v>
      </c>
      <c r="L35" s="155" t="s">
        <v>19</v>
      </c>
      <c r="M35" s="155" t="s">
        <v>11</v>
      </c>
      <c r="N35" s="155" t="s">
        <v>14</v>
      </c>
      <c r="O35" s="155" t="s">
        <v>12</v>
      </c>
      <c r="P35" s="159" t="s">
        <v>13</v>
      </c>
    </row>
    <row r="36" spans="3:22" ht="14" x14ac:dyDescent="0.15">
      <c r="C36" s="32" t="s">
        <v>61</v>
      </c>
      <c r="D36" s="156"/>
      <c r="E36" s="156"/>
      <c r="F36" s="156"/>
      <c r="G36" s="157">
        <v>22917340</v>
      </c>
      <c r="H36" s="158"/>
      <c r="I36" s="157">
        <v>148617</v>
      </c>
      <c r="J36" s="157">
        <v>33570419</v>
      </c>
      <c r="K36" s="157">
        <v>642341</v>
      </c>
      <c r="L36" s="156"/>
      <c r="M36" s="156"/>
      <c r="N36" s="156"/>
      <c r="O36" s="156"/>
      <c r="P36" s="151">
        <f>SUM(D36:O36)</f>
        <v>57278717</v>
      </c>
    </row>
    <row r="37" spans="3:22" ht="14" x14ac:dyDescent="0.15">
      <c r="C37" s="32" t="s">
        <v>39</v>
      </c>
      <c r="D37" s="156">
        <v>3571884</v>
      </c>
      <c r="E37" s="156">
        <v>303870</v>
      </c>
      <c r="F37" s="156"/>
      <c r="G37" s="156">
        <v>38747580</v>
      </c>
      <c r="H37" s="156">
        <v>10177527</v>
      </c>
      <c r="I37" s="156">
        <v>16757476</v>
      </c>
      <c r="J37" s="156">
        <v>47736140</v>
      </c>
      <c r="K37" s="156">
        <v>10732725</v>
      </c>
      <c r="L37" s="156">
        <v>10672894</v>
      </c>
      <c r="M37" s="156">
        <v>399323</v>
      </c>
      <c r="N37" s="156">
        <v>16487646</v>
      </c>
      <c r="O37" s="156">
        <v>74131</v>
      </c>
      <c r="P37" s="151">
        <f>SUM(D37:O37)</f>
        <v>155661196</v>
      </c>
    </row>
    <row r="38" spans="3:22" ht="14" x14ac:dyDescent="0.15">
      <c r="C38" s="32" t="s">
        <v>40</v>
      </c>
      <c r="D38" s="156">
        <v>5107300</v>
      </c>
      <c r="E38" s="156">
        <v>472857</v>
      </c>
      <c r="F38" s="156">
        <v>37058060</v>
      </c>
      <c r="G38" s="156">
        <v>54500664</v>
      </c>
      <c r="H38" s="156">
        <v>5677475</v>
      </c>
      <c r="I38" s="156">
        <v>38827043</v>
      </c>
      <c r="J38" s="156">
        <v>47205446</v>
      </c>
      <c r="K38" s="156">
        <v>17247733</v>
      </c>
      <c r="L38" s="156">
        <v>8655132</v>
      </c>
      <c r="M38" s="156">
        <v>7699420</v>
      </c>
      <c r="N38" s="156">
        <v>31722079</v>
      </c>
      <c r="O38" s="156">
        <v>490620</v>
      </c>
      <c r="P38" s="151">
        <f t="shared" ref="P38:P44" si="15">SUM(D38:O38)</f>
        <v>254663829</v>
      </c>
    </row>
    <row r="39" spans="3:22" ht="14" x14ac:dyDescent="0.15">
      <c r="C39" s="32" t="s">
        <v>41</v>
      </c>
      <c r="D39" s="156">
        <v>4406202</v>
      </c>
      <c r="E39" s="156">
        <v>101671</v>
      </c>
      <c r="F39" s="156">
        <v>52599871</v>
      </c>
      <c r="G39" s="156">
        <v>84223158</v>
      </c>
      <c r="H39" s="156">
        <v>659405</v>
      </c>
      <c r="I39" s="156">
        <v>51945273</v>
      </c>
      <c r="J39" s="156">
        <v>79756398</v>
      </c>
      <c r="K39" s="156">
        <v>22897913</v>
      </c>
      <c r="L39" s="156">
        <v>12425960</v>
      </c>
      <c r="M39" s="156">
        <v>49882875</v>
      </c>
      <c r="N39" s="156">
        <v>50334622</v>
      </c>
      <c r="O39" s="156">
        <v>3566385</v>
      </c>
      <c r="P39" s="151">
        <f t="shared" si="15"/>
        <v>412799733</v>
      </c>
    </row>
    <row r="40" spans="3:22" ht="14" x14ac:dyDescent="0.15">
      <c r="C40" s="32" t="s">
        <v>42</v>
      </c>
      <c r="D40" s="156">
        <v>5042249</v>
      </c>
      <c r="E40" s="156">
        <v>368609</v>
      </c>
      <c r="F40" s="156">
        <v>112330657</v>
      </c>
      <c r="G40" s="156">
        <v>133841386</v>
      </c>
      <c r="H40" s="156">
        <v>720133</v>
      </c>
      <c r="I40" s="156">
        <v>63965963</v>
      </c>
      <c r="J40" s="156">
        <v>98766037</v>
      </c>
      <c r="K40" s="156">
        <v>20180632</v>
      </c>
      <c r="L40" s="156">
        <v>20538207</v>
      </c>
      <c r="M40" s="156">
        <v>3194725</v>
      </c>
      <c r="N40" s="156">
        <v>38272940</v>
      </c>
      <c r="O40" s="156">
        <v>4158651</v>
      </c>
      <c r="P40" s="151">
        <f t="shared" si="15"/>
        <v>501380189</v>
      </c>
    </row>
    <row r="41" spans="3:22" ht="14" x14ac:dyDescent="0.15">
      <c r="C41" s="32" t="s">
        <v>43</v>
      </c>
      <c r="D41" s="156">
        <v>10626249</v>
      </c>
      <c r="E41" s="156">
        <v>846248</v>
      </c>
      <c r="F41" s="156">
        <v>120025964</v>
      </c>
      <c r="G41" s="156">
        <v>168676747</v>
      </c>
      <c r="H41" s="156">
        <v>791085</v>
      </c>
      <c r="I41" s="156">
        <v>70588599</v>
      </c>
      <c r="J41" s="156">
        <v>95246110</v>
      </c>
      <c r="K41" s="156">
        <v>24339347</v>
      </c>
      <c r="L41" s="156">
        <v>16768246</v>
      </c>
      <c r="M41" s="156">
        <v>6706193</v>
      </c>
      <c r="N41" s="156">
        <v>54068234</v>
      </c>
      <c r="O41" s="156">
        <v>1599327</v>
      </c>
      <c r="P41" s="151">
        <f t="shared" si="15"/>
        <v>570282349</v>
      </c>
    </row>
    <row r="42" spans="3:22" ht="14" x14ac:dyDescent="0.15">
      <c r="C42" s="32" t="s">
        <v>44</v>
      </c>
      <c r="D42" s="156">
        <v>10212371</v>
      </c>
      <c r="E42" s="156">
        <v>673608</v>
      </c>
      <c r="F42" s="156">
        <v>120930572</v>
      </c>
      <c r="G42" s="156">
        <v>209906859</v>
      </c>
      <c r="H42" s="156">
        <v>4434948</v>
      </c>
      <c r="I42" s="156">
        <v>111743424</v>
      </c>
      <c r="J42" s="156">
        <v>135286498</v>
      </c>
      <c r="K42" s="156">
        <v>38223085</v>
      </c>
      <c r="L42" s="156">
        <v>18293760</v>
      </c>
      <c r="M42" s="156">
        <v>5756697</v>
      </c>
      <c r="N42" s="156">
        <v>89251096</v>
      </c>
      <c r="O42" s="156">
        <v>4687222</v>
      </c>
      <c r="P42" s="151">
        <f t="shared" si="15"/>
        <v>749400140</v>
      </c>
    </row>
    <row r="43" spans="3:22" ht="14" x14ac:dyDescent="0.15">
      <c r="C43" s="32" t="s">
        <v>45</v>
      </c>
      <c r="D43" s="156">
        <v>15472293</v>
      </c>
      <c r="E43" s="156">
        <v>1110146</v>
      </c>
      <c r="F43" s="156">
        <v>144293748</v>
      </c>
      <c r="G43" s="156">
        <v>283255958</v>
      </c>
      <c r="H43" s="156">
        <v>4498352</v>
      </c>
      <c r="I43" s="156">
        <v>127080485</v>
      </c>
      <c r="J43" s="156">
        <v>196137679</v>
      </c>
      <c r="K43" s="156">
        <v>67730322</v>
      </c>
      <c r="L43" s="156">
        <v>27464272</v>
      </c>
      <c r="M43" s="156">
        <v>13607626</v>
      </c>
      <c r="N43" s="156">
        <v>71263045</v>
      </c>
      <c r="O43" s="156">
        <v>6392213</v>
      </c>
      <c r="P43" s="151">
        <f t="shared" si="15"/>
        <v>958306139</v>
      </c>
    </row>
    <row r="44" spans="3:22" ht="14" x14ac:dyDescent="0.15">
      <c r="C44" s="32" t="s">
        <v>47</v>
      </c>
      <c r="D44" s="156">
        <v>15943277</v>
      </c>
      <c r="E44" s="156">
        <v>2000860</v>
      </c>
      <c r="F44" s="156">
        <v>172036391</v>
      </c>
      <c r="G44" s="156">
        <v>405060654</v>
      </c>
      <c r="H44" s="156">
        <v>6384325</v>
      </c>
      <c r="I44" s="156">
        <v>163276446</v>
      </c>
      <c r="J44" s="156">
        <v>360644547</v>
      </c>
      <c r="K44" s="156">
        <v>70647366</v>
      </c>
      <c r="L44" s="156">
        <v>56956518</v>
      </c>
      <c r="M44" s="156">
        <v>13084823</v>
      </c>
      <c r="N44" s="156">
        <v>77176447</v>
      </c>
      <c r="O44" s="156">
        <v>7651738</v>
      </c>
      <c r="P44" s="151">
        <f t="shared" si="15"/>
        <v>1350863392</v>
      </c>
    </row>
    <row r="45" spans="3:22" ht="14" x14ac:dyDescent="0.15">
      <c r="C45" s="32" t="s">
        <v>79</v>
      </c>
      <c r="D45" s="156">
        <v>18483862</v>
      </c>
      <c r="E45" s="156">
        <v>5180425</v>
      </c>
      <c r="F45" s="156">
        <v>316508622</v>
      </c>
      <c r="G45" s="156">
        <v>409163992</v>
      </c>
      <c r="H45" s="156">
        <v>3932989</v>
      </c>
      <c r="I45" s="156">
        <v>174590976</v>
      </c>
      <c r="J45" s="156">
        <v>230713118</v>
      </c>
      <c r="K45" s="156">
        <v>82185432</v>
      </c>
      <c r="L45" s="156">
        <v>65432243</v>
      </c>
      <c r="M45" s="156">
        <v>31550469</v>
      </c>
      <c r="N45" s="156">
        <v>93017982</v>
      </c>
      <c r="O45" s="156">
        <v>5787392</v>
      </c>
      <c r="P45" s="151">
        <f>SUM(D45:O45)</f>
        <v>1436547502</v>
      </c>
    </row>
    <row r="46" spans="3:22" ht="14" x14ac:dyDescent="0.15">
      <c r="C46" s="32" t="s">
        <v>99</v>
      </c>
      <c r="D46" s="156">
        <v>31037472</v>
      </c>
      <c r="E46" s="156">
        <v>6667925</v>
      </c>
      <c r="F46" s="156">
        <v>384034918</v>
      </c>
      <c r="G46" s="156">
        <v>257503303</v>
      </c>
      <c r="H46" s="156">
        <v>6870180</v>
      </c>
      <c r="I46" s="156">
        <v>208186137</v>
      </c>
      <c r="J46" s="156">
        <v>107761906</v>
      </c>
      <c r="K46" s="156">
        <v>102272879</v>
      </c>
      <c r="L46" s="156">
        <v>47917738</v>
      </c>
      <c r="M46" s="156">
        <v>26890238</v>
      </c>
      <c r="N46" s="156">
        <v>87788123</v>
      </c>
      <c r="O46" s="156">
        <v>3555455</v>
      </c>
      <c r="P46" s="151">
        <f>SUM(D46:O46)</f>
        <v>1270486274</v>
      </c>
    </row>
    <row r="47" spans="3:22" ht="14" x14ac:dyDescent="0.15">
      <c r="C47" s="32" t="s">
        <v>107</v>
      </c>
      <c r="D47" s="156">
        <v>26575335</v>
      </c>
      <c r="E47" s="156">
        <v>11235903</v>
      </c>
      <c r="F47" s="156">
        <v>348314922</v>
      </c>
      <c r="G47" s="156">
        <v>297731084</v>
      </c>
      <c r="H47" s="156">
        <v>7114441</v>
      </c>
      <c r="I47" s="156">
        <v>249383788</v>
      </c>
      <c r="J47" s="156">
        <v>239952279</v>
      </c>
      <c r="K47" s="156">
        <v>157131425</v>
      </c>
      <c r="L47" s="156">
        <v>55382038</v>
      </c>
      <c r="M47" s="156">
        <v>34901304</v>
      </c>
      <c r="N47" s="156">
        <v>48444205</v>
      </c>
      <c r="O47" s="156">
        <v>897332</v>
      </c>
      <c r="P47" s="151">
        <f>SUM(D47:O47)</f>
        <v>1477064056</v>
      </c>
    </row>
    <row r="48" spans="3:22" ht="14" x14ac:dyDescent="0.15">
      <c r="C48" s="32" t="s">
        <v>149</v>
      </c>
      <c r="D48" s="156">
        <v>36577519</v>
      </c>
      <c r="E48" s="156">
        <v>31991156</v>
      </c>
      <c r="F48" s="156">
        <v>390720352</v>
      </c>
      <c r="G48" s="156">
        <v>408146511</v>
      </c>
      <c r="H48" s="156">
        <v>76927701</v>
      </c>
      <c r="I48" s="156">
        <v>276071184</v>
      </c>
      <c r="J48" s="156">
        <v>371424720</v>
      </c>
      <c r="K48" s="156">
        <v>68861390</v>
      </c>
      <c r="L48" s="156">
        <v>38363185</v>
      </c>
      <c r="M48" s="156">
        <v>52227104</v>
      </c>
      <c r="N48" s="156">
        <v>68885911</v>
      </c>
      <c r="O48" s="156">
        <v>1387922</v>
      </c>
      <c r="P48" s="151">
        <f>SUM(D48:O48)</f>
        <v>1821584655</v>
      </c>
    </row>
    <row r="49" spans="3:24" x14ac:dyDescent="0.15">
      <c r="C49" s="37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</row>
    <row r="50" spans="3:24" ht="14" x14ac:dyDescent="0.15">
      <c r="C50" s="37" t="s">
        <v>25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</row>
    <row r="51" spans="3:24" x14ac:dyDescent="0.15">
      <c r="C51" t="s">
        <v>49</v>
      </c>
      <c r="D51" s="144" t="s">
        <v>5</v>
      </c>
      <c r="E51" s="144" t="s">
        <v>6</v>
      </c>
      <c r="F51" s="144" t="s">
        <v>7</v>
      </c>
      <c r="G51" s="144" t="s">
        <v>8</v>
      </c>
      <c r="H51" s="144" t="s">
        <v>9</v>
      </c>
      <c r="I51" s="150" t="s">
        <v>16</v>
      </c>
      <c r="J51" s="150" t="s">
        <v>133</v>
      </c>
      <c r="K51" s="150" t="s">
        <v>10</v>
      </c>
      <c r="L51" s="150" t="s">
        <v>19</v>
      </c>
      <c r="M51" s="150" t="s">
        <v>11</v>
      </c>
      <c r="N51" s="150" t="s">
        <v>14</v>
      </c>
      <c r="O51" s="150" t="s">
        <v>12</v>
      </c>
      <c r="P51" s="159" t="s">
        <v>13</v>
      </c>
    </row>
    <row r="52" spans="3:24" ht="14" x14ac:dyDescent="0.15">
      <c r="C52" s="32" t="s">
        <v>61</v>
      </c>
      <c r="D52" s="161">
        <f>D67/1024</f>
        <v>0</v>
      </c>
      <c r="E52" s="161">
        <f t="shared" ref="E52:O52" si="16">E67/1024</f>
        <v>0</v>
      </c>
      <c r="F52" s="161">
        <f t="shared" si="16"/>
        <v>0</v>
      </c>
      <c r="G52" s="161">
        <f t="shared" si="16"/>
        <v>72.887439727783203</v>
      </c>
      <c r="H52" s="161">
        <f t="shared" si="16"/>
        <v>0</v>
      </c>
      <c r="I52" s="161">
        <f t="shared" si="16"/>
        <v>6.6466856002807617</v>
      </c>
      <c r="J52" s="161">
        <f t="shared" si="16"/>
        <v>569.63172245025635</v>
      </c>
      <c r="K52" s="161">
        <f t="shared" si="16"/>
        <v>15.27695369720459</v>
      </c>
      <c r="L52" s="161">
        <f t="shared" si="16"/>
        <v>0</v>
      </c>
      <c r="M52" s="161">
        <f t="shared" si="16"/>
        <v>0</v>
      </c>
      <c r="N52" s="161">
        <f t="shared" si="16"/>
        <v>0</v>
      </c>
      <c r="O52" s="161">
        <f t="shared" si="16"/>
        <v>0</v>
      </c>
      <c r="P52" s="161">
        <f t="shared" ref="P52:P60" si="17">SUM(D52:O52)</f>
        <v>664.4428014755249</v>
      </c>
    </row>
    <row r="53" spans="3:24" ht="14" x14ac:dyDescent="0.15">
      <c r="C53" s="32" t="s">
        <v>39</v>
      </c>
      <c r="D53" s="161">
        <f t="shared" ref="D53:O53" si="18">D68/1024</f>
        <v>167.13747070312499</v>
      </c>
      <c r="E53" s="161">
        <f t="shared" si="18"/>
        <v>16.502822265624999</v>
      </c>
      <c r="F53" s="161">
        <f t="shared" si="18"/>
        <v>0</v>
      </c>
      <c r="G53" s="161">
        <f t="shared" si="18"/>
        <v>302.798525390625</v>
      </c>
      <c r="H53" s="161">
        <f t="shared" si="18"/>
        <v>12.077285156249999</v>
      </c>
      <c r="I53" s="161">
        <f t="shared" si="18"/>
        <v>448.11910156250002</v>
      </c>
      <c r="J53" s="161">
        <f t="shared" si="18"/>
        <v>813.94316406250005</v>
      </c>
      <c r="K53" s="161">
        <f t="shared" si="18"/>
        <v>81.316943359375017</v>
      </c>
      <c r="L53" s="161">
        <f t="shared" si="18"/>
        <v>61.039814453125004</v>
      </c>
      <c r="M53" s="161">
        <f t="shared" si="18"/>
        <v>0.73624999999999996</v>
      </c>
      <c r="N53" s="161">
        <f t="shared" si="18"/>
        <v>62.173291015624997</v>
      </c>
      <c r="O53" s="161">
        <f t="shared" si="18"/>
        <v>6.4423828124999999E-2</v>
      </c>
      <c r="P53" s="161">
        <f t="shared" si="17"/>
        <v>1965.9090917968749</v>
      </c>
    </row>
    <row r="54" spans="3:24" ht="14" x14ac:dyDescent="0.15">
      <c r="C54" s="32" t="s">
        <v>40</v>
      </c>
      <c r="D54" s="161">
        <f t="shared" ref="D54:O54" si="19">D69/1024</f>
        <v>187.91737431887725</v>
      </c>
      <c r="E54" s="161">
        <f t="shared" si="19"/>
        <v>41.982201290367755</v>
      </c>
      <c r="F54" s="161">
        <f t="shared" si="19"/>
        <v>9.2010803301645563</v>
      </c>
      <c r="G54" s="161">
        <f t="shared" si="19"/>
        <v>487.31976638919554</v>
      </c>
      <c r="H54" s="161">
        <f t="shared" si="19"/>
        <v>8.6275993815233729</v>
      </c>
      <c r="I54" s="161">
        <f t="shared" si="19"/>
        <v>538.93535439403638</v>
      </c>
      <c r="J54" s="161">
        <f t="shared" si="19"/>
        <v>866.74800395509101</v>
      </c>
      <c r="K54" s="161">
        <f t="shared" si="19"/>
        <v>119.99649580963224</v>
      </c>
      <c r="L54" s="161">
        <f t="shared" si="19"/>
        <v>73.955380859374998</v>
      </c>
      <c r="M54" s="161">
        <f t="shared" si="19"/>
        <v>2.859052655876436</v>
      </c>
      <c r="N54" s="161">
        <f t="shared" si="19"/>
        <v>91.35252567675154</v>
      </c>
      <c r="O54" s="161">
        <f t="shared" si="19"/>
        <v>0.31630323165882113</v>
      </c>
      <c r="P54" s="161">
        <f t="shared" si="17"/>
        <v>2429.21113829255</v>
      </c>
      <c r="X54" s="10"/>
    </row>
    <row r="55" spans="3:24" ht="14" x14ac:dyDescent="0.15">
      <c r="C55" s="32" t="s">
        <v>41</v>
      </c>
      <c r="D55" s="161">
        <f t="shared" ref="D55:O55" si="20">D70/1024</f>
        <v>232.70969726562498</v>
      </c>
      <c r="E55" s="161">
        <f t="shared" si="20"/>
        <v>2.6634765624999996</v>
      </c>
      <c r="F55" s="161">
        <f t="shared" si="20"/>
        <v>17.431845703124999</v>
      </c>
      <c r="G55" s="161">
        <f t="shared" si="20"/>
        <v>698.67523437499995</v>
      </c>
      <c r="H55" s="161">
        <f t="shared" si="20"/>
        <v>12.410048828124999</v>
      </c>
      <c r="I55" s="161">
        <f t="shared" si="20"/>
        <v>952.70526367187506</v>
      </c>
      <c r="J55" s="161">
        <f t="shared" si="20"/>
        <v>1287.3805273437499</v>
      </c>
      <c r="K55" s="161">
        <f t="shared" si="20"/>
        <v>140.17009765624999</v>
      </c>
      <c r="L55" s="161">
        <f t="shared" si="20"/>
        <v>173.84639648437499</v>
      </c>
      <c r="M55" s="161">
        <f t="shared" si="20"/>
        <v>4.9920605468749999</v>
      </c>
      <c r="N55" s="161">
        <f t="shared" si="20"/>
        <v>104.92124023437498</v>
      </c>
      <c r="O55" s="161">
        <f t="shared" si="20"/>
        <v>1.4294628906250002</v>
      </c>
      <c r="P55" s="161">
        <f t="shared" si="17"/>
        <v>3629.3353515624999</v>
      </c>
    </row>
    <row r="56" spans="3:24" ht="14" x14ac:dyDescent="0.15">
      <c r="C56" s="32" t="s">
        <v>42</v>
      </c>
      <c r="D56" s="161">
        <f t="shared" ref="D56:O56" si="21">D71/1024</f>
        <v>195.51196289062503</v>
      </c>
      <c r="E56" s="161">
        <f t="shared" si="21"/>
        <v>103.10643554687501</v>
      </c>
      <c r="F56" s="161">
        <f t="shared" si="21"/>
        <v>35.759873046874993</v>
      </c>
      <c r="G56" s="161">
        <f t="shared" si="21"/>
        <v>1042.4527050781248</v>
      </c>
      <c r="H56" s="161">
        <f t="shared" si="21"/>
        <v>5.9392285156250013</v>
      </c>
      <c r="I56" s="161">
        <f t="shared" si="21"/>
        <v>1178.54642578125</v>
      </c>
      <c r="J56" s="161">
        <f t="shared" si="21"/>
        <v>1578.3927832031247</v>
      </c>
      <c r="K56" s="161">
        <f t="shared" si="21"/>
        <v>185.13569335937498</v>
      </c>
      <c r="L56" s="161">
        <f t="shared" si="21"/>
        <v>282.97775390625003</v>
      </c>
      <c r="M56" s="161">
        <f t="shared" si="21"/>
        <v>7.1624121093750004</v>
      </c>
      <c r="N56" s="161">
        <f t="shared" si="21"/>
        <v>111.833525390625</v>
      </c>
      <c r="O56" s="161">
        <f t="shared" si="21"/>
        <v>2.8848242187499995</v>
      </c>
      <c r="P56" s="161">
        <f t="shared" si="17"/>
        <v>4729.7036230468739</v>
      </c>
    </row>
    <row r="57" spans="3:24" ht="14" x14ac:dyDescent="0.15">
      <c r="C57" s="32" t="s">
        <v>43</v>
      </c>
      <c r="D57" s="161">
        <f t="shared" ref="D57:O57" si="22">D72/1024</f>
        <v>643.93322265624988</v>
      </c>
      <c r="E57" s="161">
        <f t="shared" si="22"/>
        <v>188.17906250000001</v>
      </c>
      <c r="F57" s="161">
        <f t="shared" si="22"/>
        <v>37.516135742187501</v>
      </c>
      <c r="G57" s="161">
        <f t="shared" si="22"/>
        <v>1327.66482421875</v>
      </c>
      <c r="H57" s="161">
        <f t="shared" si="22"/>
        <v>7.2834960937500011</v>
      </c>
      <c r="I57" s="161">
        <f t="shared" si="22"/>
        <v>1200.866494140625</v>
      </c>
      <c r="J57" s="161">
        <f t="shared" si="22"/>
        <v>1289.7931152343751</v>
      </c>
      <c r="K57" s="161">
        <f t="shared" si="22"/>
        <v>168.339326171875</v>
      </c>
      <c r="L57" s="161">
        <f t="shared" si="22"/>
        <v>370.48637695312499</v>
      </c>
      <c r="M57" s="161">
        <f t="shared" si="22"/>
        <v>10.159755859375002</v>
      </c>
      <c r="N57" s="161">
        <f t="shared" si="22"/>
        <v>161.62029296874999</v>
      </c>
      <c r="O57" s="161">
        <f t="shared" si="22"/>
        <v>1.470908203125</v>
      </c>
      <c r="P57" s="161">
        <f t="shared" si="17"/>
        <v>5407.3130107421866</v>
      </c>
    </row>
    <row r="58" spans="3:24" ht="14" x14ac:dyDescent="0.15">
      <c r="C58" s="32" t="s">
        <v>44</v>
      </c>
      <c r="D58" s="161">
        <f t="shared" ref="D58:O58" si="23">D73/1024</f>
        <v>624.53989257812486</v>
      </c>
      <c r="E58" s="161">
        <f t="shared" si="23"/>
        <v>81.960292968749997</v>
      </c>
      <c r="F58" s="161">
        <f t="shared" si="23"/>
        <v>48.773496093749998</v>
      </c>
      <c r="G58" s="161">
        <f t="shared" si="23"/>
        <v>1942.4786035156249</v>
      </c>
      <c r="H58" s="161">
        <f t="shared" si="23"/>
        <v>6.9492285156250002</v>
      </c>
      <c r="I58" s="161">
        <f t="shared" si="23"/>
        <v>1456.1670898437501</v>
      </c>
      <c r="J58" s="161">
        <f t="shared" si="23"/>
        <v>2080.3925292968752</v>
      </c>
      <c r="K58" s="161">
        <f t="shared" si="23"/>
        <v>180.22646484374999</v>
      </c>
      <c r="L58" s="161">
        <f t="shared" si="23"/>
        <v>500.98374023437498</v>
      </c>
      <c r="M58" s="161">
        <f t="shared" si="23"/>
        <v>16.33041015625</v>
      </c>
      <c r="N58" s="161">
        <f t="shared" si="23"/>
        <v>232.35997070312499</v>
      </c>
      <c r="O58" s="161">
        <f t="shared" si="23"/>
        <v>2.5720312500000002</v>
      </c>
      <c r="P58" s="161">
        <f t="shared" si="17"/>
        <v>7173.7337499999994</v>
      </c>
    </row>
    <row r="59" spans="3:24" ht="14" x14ac:dyDescent="0.15">
      <c r="C59" s="32" t="s">
        <v>45</v>
      </c>
      <c r="D59" s="161">
        <f t="shared" ref="D59:O59" si="24">D74/1024</f>
        <v>1094.296884765625</v>
      </c>
      <c r="E59" s="161">
        <f t="shared" si="24"/>
        <v>349.97136718750005</v>
      </c>
      <c r="F59" s="161">
        <f t="shared" si="24"/>
        <v>72.337106445312514</v>
      </c>
      <c r="G59" s="161">
        <f t="shared" si="24"/>
        <v>1770.654091796875</v>
      </c>
      <c r="H59" s="161">
        <f t="shared" si="24"/>
        <v>8.9811523437499989</v>
      </c>
      <c r="I59" s="161">
        <f t="shared" si="24"/>
        <v>2132.9461816406251</v>
      </c>
      <c r="J59" s="161">
        <f t="shared" si="24"/>
        <v>3045.8086132812505</v>
      </c>
      <c r="K59" s="161">
        <f t="shared" si="24"/>
        <v>169.87938476562502</v>
      </c>
      <c r="L59" s="161">
        <f t="shared" si="24"/>
        <v>404.45936523437501</v>
      </c>
      <c r="M59" s="161">
        <f t="shared" si="24"/>
        <v>21.51076171875</v>
      </c>
      <c r="N59" s="161">
        <f t="shared" si="24"/>
        <v>207.10779296875</v>
      </c>
      <c r="O59" s="161">
        <f t="shared" si="24"/>
        <v>2.7203515624999999</v>
      </c>
      <c r="P59" s="161">
        <f t="shared" si="17"/>
        <v>9280.6730537109397</v>
      </c>
    </row>
    <row r="60" spans="3:24" ht="14" x14ac:dyDescent="0.15">
      <c r="C60" s="32" t="s">
        <v>47</v>
      </c>
      <c r="D60" s="161">
        <f t="shared" ref="D60:O64" si="25">D75/1024</f>
        <v>1142.3560986581349</v>
      </c>
      <c r="E60" s="161">
        <f t="shared" si="25"/>
        <v>189.67558521090592</v>
      </c>
      <c r="F60" s="161">
        <f t="shared" si="25"/>
        <v>93.666928523617443</v>
      </c>
      <c r="G60" s="161">
        <f t="shared" si="25"/>
        <v>2071.4167294902027</v>
      </c>
      <c r="H60" s="161">
        <f t="shared" si="25"/>
        <v>16.130874663122043</v>
      </c>
      <c r="I60" s="161">
        <f t="shared" si="25"/>
        <v>1801.2341377453145</v>
      </c>
      <c r="J60" s="161">
        <f t="shared" si="25"/>
        <v>3916.7340831344368</v>
      </c>
      <c r="K60" s="161">
        <f t="shared" si="25"/>
        <v>201.59095327375263</v>
      </c>
      <c r="L60" s="161">
        <f t="shared" si="25"/>
        <v>1191.0308301382825</v>
      </c>
      <c r="M60" s="161">
        <f t="shared" si="25"/>
        <v>20.427300843186408</v>
      </c>
      <c r="N60" s="161">
        <f t="shared" si="25"/>
        <v>300.98538081447828</v>
      </c>
      <c r="O60" s="161">
        <f t="shared" si="25"/>
        <v>1.672547038133412</v>
      </c>
      <c r="P60" s="161">
        <f t="shared" si="17"/>
        <v>10946.921449533569</v>
      </c>
    </row>
    <row r="61" spans="3:24" ht="14" x14ac:dyDescent="0.15">
      <c r="C61" s="32" t="s">
        <v>79</v>
      </c>
      <c r="D61" s="161">
        <f t="shared" si="25"/>
        <v>1315.178235138271</v>
      </c>
      <c r="E61" s="161">
        <f t="shared" si="25"/>
        <v>625.93828388214115</v>
      </c>
      <c r="F61" s="161">
        <f t="shared" si="25"/>
        <v>143.02083835122664</v>
      </c>
      <c r="G61" s="161">
        <f t="shared" si="25"/>
        <v>4058.9668372702859</v>
      </c>
      <c r="H61" s="161">
        <f t="shared" si="25"/>
        <v>8.8443165346970822</v>
      </c>
      <c r="I61" s="161">
        <f t="shared" si="25"/>
        <v>2501.0258962979528</v>
      </c>
      <c r="J61" s="161">
        <f t="shared" si="25"/>
        <v>2935.5405872167821</v>
      </c>
      <c r="K61" s="161">
        <f t="shared" si="25"/>
        <v>262.98465774811689</v>
      </c>
      <c r="L61" s="161">
        <f t="shared" si="25"/>
        <v>1479.5026629857307</v>
      </c>
      <c r="M61" s="161">
        <f t="shared" si="25"/>
        <v>71.654050646128539</v>
      </c>
      <c r="N61" s="161">
        <f t="shared" si="25"/>
        <v>481.28024073248207</v>
      </c>
      <c r="O61" s="161">
        <f t="shared" si="25"/>
        <v>2.8853466487826123</v>
      </c>
      <c r="P61" s="161">
        <f>SUM(D61:O61)</f>
        <v>13886.821953452594</v>
      </c>
    </row>
    <row r="62" spans="3:24" ht="14" x14ac:dyDescent="0.15">
      <c r="C62" s="32" t="s">
        <v>99</v>
      </c>
      <c r="D62" s="161">
        <f t="shared" si="25"/>
        <v>2378.330091915208</v>
      </c>
      <c r="E62" s="161">
        <f t="shared" si="25"/>
        <v>1418.5444757995174</v>
      </c>
      <c r="F62" s="161">
        <f t="shared" si="25"/>
        <v>151.56757468700411</v>
      </c>
      <c r="G62" s="161">
        <f t="shared" si="25"/>
        <v>5627.2969162931304</v>
      </c>
      <c r="H62" s="161">
        <f t="shared" si="25"/>
        <v>20.591103977747451</v>
      </c>
      <c r="I62" s="161">
        <f t="shared" si="25"/>
        <v>4255.6231546384679</v>
      </c>
      <c r="J62" s="161">
        <f t="shared" si="25"/>
        <v>2161.3215733560392</v>
      </c>
      <c r="K62" s="161">
        <f t="shared" si="25"/>
        <v>383.64800415002031</v>
      </c>
      <c r="L62" s="161">
        <f t="shared" si="25"/>
        <v>1388.5250310475176</v>
      </c>
      <c r="M62" s="161">
        <f t="shared" si="25"/>
        <v>169.07318274293493</v>
      </c>
      <c r="N62" s="161">
        <f t="shared" si="25"/>
        <v>547.693270146636</v>
      </c>
      <c r="O62" s="161">
        <f t="shared" si="25"/>
        <v>5.9447709620208062</v>
      </c>
      <c r="P62" s="161">
        <f>SUM(D62:O62)</f>
        <v>18508.159149716244</v>
      </c>
    </row>
    <row r="63" spans="3:24" ht="14" x14ac:dyDescent="0.15">
      <c r="C63" s="32" t="s">
        <v>107</v>
      </c>
      <c r="D63" s="161">
        <f t="shared" si="25"/>
        <v>2313.0587907771337</v>
      </c>
      <c r="E63" s="161">
        <f t="shared" si="25"/>
        <v>4765.1611050831152</v>
      </c>
      <c r="F63" s="161">
        <f t="shared" si="25"/>
        <v>204.15549725133349</v>
      </c>
      <c r="G63" s="161">
        <f t="shared" si="25"/>
        <v>5034.0588623252679</v>
      </c>
      <c r="H63" s="161">
        <f t="shared" si="25"/>
        <v>12.591962663170269</v>
      </c>
      <c r="I63" s="161">
        <f t="shared" si="25"/>
        <v>4591.9783496847376</v>
      </c>
      <c r="J63" s="161">
        <f t="shared" si="25"/>
        <v>3807.4714743847521</v>
      </c>
      <c r="K63" s="161">
        <f t="shared" si="25"/>
        <v>542.40039763831942</v>
      </c>
      <c r="L63" s="161">
        <f t="shared" si="25"/>
        <v>1277.2397893217526</v>
      </c>
      <c r="M63" s="161">
        <f t="shared" si="25"/>
        <v>369.99535867868644</v>
      </c>
      <c r="N63" s="161">
        <f t="shared" si="25"/>
        <v>575.22878332717403</v>
      </c>
      <c r="O63" s="161">
        <f t="shared" si="25"/>
        <v>8.5406350103512469</v>
      </c>
      <c r="P63" s="161">
        <f>SUM(D63:O63)</f>
        <v>23501.881006145795</v>
      </c>
    </row>
    <row r="64" spans="3:24" ht="14" x14ac:dyDescent="0.15">
      <c r="C64" s="32" t="s">
        <v>149</v>
      </c>
      <c r="D64" s="161">
        <f t="shared" si="25"/>
        <v>3142.6228653905268</v>
      </c>
      <c r="E64" s="161">
        <f t="shared" si="25"/>
        <v>7046.9466499104692</v>
      </c>
      <c r="F64" s="161">
        <f t="shared" si="25"/>
        <v>247.40886884517704</v>
      </c>
      <c r="G64" s="161">
        <f t="shared" si="25"/>
        <v>5609.586306892762</v>
      </c>
      <c r="H64" s="161">
        <f t="shared" si="25"/>
        <v>26.237466519949471</v>
      </c>
      <c r="I64" s="161">
        <f t="shared" si="25"/>
        <v>7854.7410374871542</v>
      </c>
      <c r="J64" s="161">
        <f t="shared" si="25"/>
        <v>9631.8542780975458</v>
      </c>
      <c r="K64" s="161">
        <f t="shared" si="25"/>
        <v>741.94191730615671</v>
      </c>
      <c r="L64" s="161">
        <f t="shared" si="25"/>
        <v>1419.2565291333219</v>
      </c>
      <c r="M64" s="161">
        <f t="shared" si="25"/>
        <v>334.68256025501478</v>
      </c>
      <c r="N64" s="161">
        <f t="shared" si="25"/>
        <v>608.16590161141198</v>
      </c>
      <c r="O64" s="161">
        <f t="shared" si="25"/>
        <v>13.233766058233382</v>
      </c>
      <c r="P64" s="161">
        <f>SUM(D64:O64)</f>
        <v>36676.67814750773</v>
      </c>
    </row>
    <row r="65" spans="3:16" ht="14" x14ac:dyDescent="0.15">
      <c r="C65" s="37" t="s">
        <v>36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</row>
    <row r="66" spans="3:16" x14ac:dyDescent="0.15">
      <c r="C66" t="s">
        <v>49</v>
      </c>
      <c r="D66" s="152" t="s">
        <v>5</v>
      </c>
      <c r="E66" s="152" t="s">
        <v>6</v>
      </c>
      <c r="F66" s="152" t="s">
        <v>7</v>
      </c>
      <c r="G66" s="153" t="s">
        <v>8</v>
      </c>
      <c r="H66" s="153" t="s">
        <v>9</v>
      </c>
      <c r="I66" s="154" t="s">
        <v>16</v>
      </c>
      <c r="J66" s="154" t="s">
        <v>133</v>
      </c>
      <c r="K66" s="154" t="s">
        <v>10</v>
      </c>
      <c r="L66" s="155" t="s">
        <v>19</v>
      </c>
      <c r="M66" s="155" t="s">
        <v>11</v>
      </c>
      <c r="N66" s="155" t="s">
        <v>14</v>
      </c>
      <c r="O66" s="155" t="s">
        <v>12</v>
      </c>
      <c r="P66" s="159" t="s">
        <v>13</v>
      </c>
    </row>
    <row r="67" spans="3:16" ht="14" x14ac:dyDescent="0.15">
      <c r="C67" s="32" t="s">
        <v>61</v>
      </c>
      <c r="D67" s="162"/>
      <c r="E67" s="162"/>
      <c r="F67" s="162"/>
      <c r="G67" s="163">
        <v>74636.73828125</v>
      </c>
      <c r="H67" s="164"/>
      <c r="I67" s="163">
        <v>6806.2060546875</v>
      </c>
      <c r="J67" s="163">
        <v>583302.8837890625</v>
      </c>
      <c r="K67" s="163">
        <v>15643.6005859375</v>
      </c>
      <c r="L67" s="162"/>
      <c r="M67" s="162"/>
      <c r="N67" s="162"/>
      <c r="O67" s="162"/>
      <c r="P67" s="161">
        <f t="shared" ref="P67:P75" si="26">SUM(D67:O67)</f>
        <v>680389.4287109375</v>
      </c>
    </row>
    <row r="68" spans="3:16" ht="14" x14ac:dyDescent="0.15">
      <c r="C68" s="32" t="s">
        <v>39</v>
      </c>
      <c r="D68" s="162">
        <v>171148.77</v>
      </c>
      <c r="E68" s="162">
        <v>16898.89</v>
      </c>
      <c r="F68" s="162"/>
      <c r="G68" s="162">
        <v>310065.69</v>
      </c>
      <c r="H68" s="162">
        <v>12367.14</v>
      </c>
      <c r="I68" s="162">
        <v>458873.96</v>
      </c>
      <c r="J68" s="162">
        <v>833477.8</v>
      </c>
      <c r="K68" s="162">
        <v>83268.550000000017</v>
      </c>
      <c r="L68" s="162">
        <v>62504.770000000004</v>
      </c>
      <c r="M68" s="162">
        <v>753.92</v>
      </c>
      <c r="N68" s="162">
        <v>63665.45</v>
      </c>
      <c r="O68" s="162">
        <v>65.97</v>
      </c>
      <c r="P68" s="161">
        <f t="shared" si="26"/>
        <v>2013090.91</v>
      </c>
    </row>
    <row r="69" spans="3:16" ht="14" x14ac:dyDescent="0.15">
      <c r="C69" s="32" t="s">
        <v>40</v>
      </c>
      <c r="D69" s="162">
        <v>192427.3913025303</v>
      </c>
      <c r="E69" s="162">
        <v>42989.774121336581</v>
      </c>
      <c r="F69" s="162">
        <v>9421.9062580885056</v>
      </c>
      <c r="G69" s="162">
        <v>499015.44078253623</v>
      </c>
      <c r="H69" s="162">
        <v>8834.6617666799339</v>
      </c>
      <c r="I69" s="162">
        <v>551869.80289949325</v>
      </c>
      <c r="J69" s="162">
        <v>887549.95605001319</v>
      </c>
      <c r="K69" s="162">
        <v>122876.41170906341</v>
      </c>
      <c r="L69" s="165">
        <v>75730.31</v>
      </c>
      <c r="M69" s="162">
        <v>2927.6699196174704</v>
      </c>
      <c r="N69" s="162">
        <v>93544.986292993577</v>
      </c>
      <c r="O69" s="162">
        <v>323.89450921863283</v>
      </c>
      <c r="P69" s="161">
        <f t="shared" si="26"/>
        <v>2487512.2056115712</v>
      </c>
    </row>
    <row r="70" spans="3:16" ht="14" x14ac:dyDescent="0.15">
      <c r="C70" s="32" t="s">
        <v>41</v>
      </c>
      <c r="D70" s="162">
        <v>238294.72999999998</v>
      </c>
      <c r="E70" s="162">
        <v>2727.3999999999996</v>
      </c>
      <c r="F70" s="162">
        <v>17850.21</v>
      </c>
      <c r="G70" s="162">
        <v>715443.44</v>
      </c>
      <c r="H70" s="162">
        <v>12707.89</v>
      </c>
      <c r="I70" s="162">
        <v>975570.19000000006</v>
      </c>
      <c r="J70" s="162">
        <v>1318277.6599999999</v>
      </c>
      <c r="K70" s="162">
        <v>143534.18</v>
      </c>
      <c r="L70" s="162">
        <v>178018.71</v>
      </c>
      <c r="M70" s="162">
        <v>5111.87</v>
      </c>
      <c r="N70" s="162">
        <v>107439.34999999998</v>
      </c>
      <c r="O70" s="162">
        <v>1463.7700000000002</v>
      </c>
      <c r="P70" s="161">
        <f t="shared" si="26"/>
        <v>3716439.4</v>
      </c>
    </row>
    <row r="71" spans="3:16" ht="14" x14ac:dyDescent="0.15">
      <c r="C71" s="32" t="s">
        <v>42</v>
      </c>
      <c r="D71" s="162">
        <v>200204.25000000003</v>
      </c>
      <c r="E71" s="162">
        <v>105580.99</v>
      </c>
      <c r="F71" s="162">
        <v>36618.109999999993</v>
      </c>
      <c r="G71" s="162">
        <v>1067471.5699999998</v>
      </c>
      <c r="H71" s="162">
        <v>6081.7700000000013</v>
      </c>
      <c r="I71" s="162">
        <v>1206831.54</v>
      </c>
      <c r="J71" s="162">
        <v>1616274.2099999997</v>
      </c>
      <c r="K71" s="162">
        <v>189578.94999999998</v>
      </c>
      <c r="L71" s="162">
        <v>289769.22000000003</v>
      </c>
      <c r="M71" s="162">
        <v>7334.31</v>
      </c>
      <c r="N71" s="162">
        <v>114517.53</v>
      </c>
      <c r="O71" s="162">
        <v>2954.0599999999995</v>
      </c>
      <c r="P71" s="161">
        <f t="shared" si="26"/>
        <v>4843216.5099999988</v>
      </c>
    </row>
    <row r="72" spans="3:16" ht="14" x14ac:dyDescent="0.15">
      <c r="C72" s="32" t="s">
        <v>43</v>
      </c>
      <c r="D72" s="162">
        <v>659387.61999999988</v>
      </c>
      <c r="E72" s="162">
        <v>192695.36000000002</v>
      </c>
      <c r="F72" s="162">
        <v>38416.523000000001</v>
      </c>
      <c r="G72" s="162">
        <v>1359528.78</v>
      </c>
      <c r="H72" s="162">
        <v>7458.3000000000011</v>
      </c>
      <c r="I72" s="162">
        <v>1229687.29</v>
      </c>
      <c r="J72" s="162">
        <v>1320748.1500000001</v>
      </c>
      <c r="K72" s="162">
        <v>172379.47</v>
      </c>
      <c r="L72" s="162">
        <v>379378.05</v>
      </c>
      <c r="M72" s="162">
        <v>10403.590000000002</v>
      </c>
      <c r="N72" s="162">
        <v>165499.18</v>
      </c>
      <c r="O72" s="162">
        <v>1506.21</v>
      </c>
      <c r="P72" s="161">
        <f t="shared" si="26"/>
        <v>5537088.5229999991</v>
      </c>
    </row>
    <row r="73" spans="3:16" ht="14" x14ac:dyDescent="0.15">
      <c r="C73" s="32" t="s">
        <v>44</v>
      </c>
      <c r="D73" s="162">
        <v>639528.84999999986</v>
      </c>
      <c r="E73" s="162">
        <v>83927.34</v>
      </c>
      <c r="F73" s="162">
        <v>49944.06</v>
      </c>
      <c r="G73" s="162">
        <v>1989098.0899999999</v>
      </c>
      <c r="H73" s="162">
        <v>7116.01</v>
      </c>
      <c r="I73" s="162">
        <v>1491115.1</v>
      </c>
      <c r="J73" s="162">
        <v>2130321.9500000002</v>
      </c>
      <c r="K73" s="162">
        <v>184551.9</v>
      </c>
      <c r="L73" s="162">
        <v>513007.35</v>
      </c>
      <c r="M73" s="162">
        <v>16722.34</v>
      </c>
      <c r="N73" s="162">
        <v>237936.61</v>
      </c>
      <c r="O73" s="162">
        <v>2633.76</v>
      </c>
      <c r="P73" s="161">
        <f t="shared" si="26"/>
        <v>7345903.3599999994</v>
      </c>
    </row>
    <row r="74" spans="3:16" ht="14" x14ac:dyDescent="0.15">
      <c r="C74" s="32" t="s">
        <v>45</v>
      </c>
      <c r="D74" s="162">
        <v>1120560.01</v>
      </c>
      <c r="E74" s="162">
        <v>358370.68000000005</v>
      </c>
      <c r="F74" s="162">
        <v>74073.197000000015</v>
      </c>
      <c r="G74" s="162">
        <v>1813149.79</v>
      </c>
      <c r="H74" s="162">
        <v>9196.6999999999989</v>
      </c>
      <c r="I74" s="162">
        <v>2184136.89</v>
      </c>
      <c r="J74" s="162">
        <v>3118908.0200000005</v>
      </c>
      <c r="K74" s="162">
        <v>173956.49000000002</v>
      </c>
      <c r="L74" s="162">
        <v>414166.39</v>
      </c>
      <c r="M74" s="162">
        <v>22027.02</v>
      </c>
      <c r="N74" s="162">
        <v>212078.38</v>
      </c>
      <c r="O74" s="162">
        <v>2785.64</v>
      </c>
      <c r="P74" s="161">
        <f t="shared" si="26"/>
        <v>9503409.2070000023</v>
      </c>
    </row>
    <row r="75" spans="3:16" ht="14" x14ac:dyDescent="0.15">
      <c r="C75" s="32" t="s">
        <v>47</v>
      </c>
      <c r="D75" s="162">
        <v>1169772.6450259301</v>
      </c>
      <c r="E75" s="162">
        <v>194227.79925596766</v>
      </c>
      <c r="F75" s="162">
        <v>95914.934808184262</v>
      </c>
      <c r="G75" s="162">
        <v>2121130.7309979675</v>
      </c>
      <c r="H75" s="162">
        <v>16518.015655036972</v>
      </c>
      <c r="I75" s="162">
        <v>1844463.757051202</v>
      </c>
      <c r="J75" s="162">
        <v>4010735.7011296633</v>
      </c>
      <c r="K75" s="162">
        <v>206429.1361523227</v>
      </c>
      <c r="L75" s="162">
        <v>1219615.5700616012</v>
      </c>
      <c r="M75" s="162">
        <v>20917.556063422882</v>
      </c>
      <c r="N75" s="162">
        <v>308209.02995402575</v>
      </c>
      <c r="O75" s="162">
        <v>1712.6881670486139</v>
      </c>
      <c r="P75" s="161">
        <f t="shared" si="26"/>
        <v>11209647.564322375</v>
      </c>
    </row>
    <row r="76" spans="3:16" ht="14" x14ac:dyDescent="0.15">
      <c r="C76" s="32" t="s">
        <v>79</v>
      </c>
      <c r="D76" s="162">
        <v>1346742.5127815895</v>
      </c>
      <c r="E76" s="162">
        <v>640960.80269531254</v>
      </c>
      <c r="F76" s="162">
        <v>146453.33847165608</v>
      </c>
      <c r="G76" s="162">
        <v>4156382.0413647727</v>
      </c>
      <c r="H76" s="162">
        <v>9056.5801315298122</v>
      </c>
      <c r="I76" s="162">
        <v>2561050.5178091037</v>
      </c>
      <c r="J76" s="162">
        <v>3005993.5613099849</v>
      </c>
      <c r="K76" s="162">
        <v>269296.28953407169</v>
      </c>
      <c r="L76" s="162">
        <v>1515010.7268973882</v>
      </c>
      <c r="M76" s="162">
        <v>73373.747861635624</v>
      </c>
      <c r="N76" s="162">
        <v>492830.96651006164</v>
      </c>
      <c r="O76" s="162">
        <v>2954.594968353395</v>
      </c>
      <c r="P76" s="161">
        <f>SUM(D76:O76)</f>
        <v>14220105.680335457</v>
      </c>
    </row>
    <row r="77" spans="3:16" ht="14" x14ac:dyDescent="0.15">
      <c r="C77" s="32" t="s">
        <v>99</v>
      </c>
      <c r="D77" s="162">
        <v>2435410.0141211729</v>
      </c>
      <c r="E77" s="162">
        <v>1452589.5432187058</v>
      </c>
      <c r="F77" s="162">
        <v>155205.19647949221</v>
      </c>
      <c r="G77" s="162">
        <v>5762352.0422841655</v>
      </c>
      <c r="H77" s="162">
        <v>21085.29047321339</v>
      </c>
      <c r="I77" s="162">
        <v>4357758.1103497911</v>
      </c>
      <c r="J77" s="162">
        <v>2213193.2911165841</v>
      </c>
      <c r="K77" s="162">
        <v>392855.5562496208</v>
      </c>
      <c r="L77" s="162">
        <v>1421849.631792658</v>
      </c>
      <c r="M77" s="162">
        <v>173130.93912876537</v>
      </c>
      <c r="N77" s="162">
        <v>560837.90863015526</v>
      </c>
      <c r="O77" s="162">
        <v>6087.4454651093056</v>
      </c>
      <c r="P77" s="161">
        <f>SUM(D77:O77)</f>
        <v>18952354.969309434</v>
      </c>
    </row>
    <row r="78" spans="3:16" ht="14" x14ac:dyDescent="0.15">
      <c r="C78" s="32" t="s">
        <v>107</v>
      </c>
      <c r="D78" s="162">
        <v>2368572.2017557849</v>
      </c>
      <c r="E78" s="162">
        <v>4879524.97160511</v>
      </c>
      <c r="F78" s="162">
        <v>209055.22918536549</v>
      </c>
      <c r="G78" s="162">
        <v>5154876.2750210743</v>
      </c>
      <c r="H78" s="162">
        <v>12894.169767086356</v>
      </c>
      <c r="I78" s="162">
        <v>4702185.8300771713</v>
      </c>
      <c r="J78" s="162">
        <v>3898850.7897699862</v>
      </c>
      <c r="K78" s="162">
        <v>555418.00718163908</v>
      </c>
      <c r="L78" s="162">
        <v>1307893.5442654747</v>
      </c>
      <c r="M78" s="162">
        <v>378875.24728697492</v>
      </c>
      <c r="N78" s="162">
        <v>589034.2741270262</v>
      </c>
      <c r="O78" s="162">
        <v>8745.6102505996769</v>
      </c>
      <c r="P78" s="161">
        <f>SUM(D78:O78)</f>
        <v>24065926.150293294</v>
      </c>
    </row>
    <row r="79" spans="3:16" ht="14" x14ac:dyDescent="0.15">
      <c r="C79" s="32" t="s">
        <v>149</v>
      </c>
      <c r="D79" s="162">
        <v>3218045.8141598995</v>
      </c>
      <c r="E79" s="162">
        <v>7216073.3695083205</v>
      </c>
      <c r="F79" s="162">
        <v>253346.68169746129</v>
      </c>
      <c r="G79" s="162">
        <v>5744216.3782581883</v>
      </c>
      <c r="H79" s="162">
        <v>26867.165716428259</v>
      </c>
      <c r="I79" s="162">
        <v>8043254.8223868459</v>
      </c>
      <c r="J79" s="162">
        <v>9863018.7807718869</v>
      </c>
      <c r="K79" s="162">
        <v>759748.52332150447</v>
      </c>
      <c r="L79" s="162">
        <v>1453318.6858325216</v>
      </c>
      <c r="M79" s="162">
        <v>342714.94170113513</v>
      </c>
      <c r="N79" s="162">
        <v>622761.88325008587</v>
      </c>
      <c r="O79" s="162">
        <v>13551.376443630983</v>
      </c>
      <c r="P79" s="161">
        <f>SUM(D79:O79)</f>
        <v>37556918.423047915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3"/>
  <sheetViews>
    <sheetView zoomScale="110" zoomScaleNormal="110" workbookViewId="0">
      <selection activeCell="A3" sqref="A3"/>
    </sheetView>
  </sheetViews>
  <sheetFormatPr baseColWidth="10" defaultColWidth="8.83203125" defaultRowHeight="13" x14ac:dyDescent="0.15"/>
  <cols>
    <col min="1" max="1" width="120.6640625" customWidth="1"/>
  </cols>
  <sheetData>
    <row r="3" spans="1:1" ht="228.75" customHeight="1" x14ac:dyDescent="0.15">
      <c r="A3" s="63" t="s">
        <v>161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52"/>
  <sheetViews>
    <sheetView tabSelected="1" zoomScale="90" zoomScaleNormal="90" zoomScalePageLayoutView="90" workbookViewId="0">
      <selection activeCell="M25" sqref="M25"/>
    </sheetView>
  </sheetViews>
  <sheetFormatPr baseColWidth="10" defaultColWidth="11.5" defaultRowHeight="13" x14ac:dyDescent="0.15"/>
  <cols>
    <col min="1" max="1" width="7.1640625" customWidth="1"/>
    <col min="2" max="2" width="5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CONCATENATE(data!$B$2, " Summary for ", Summary_data!X1)</f>
        <v>ASDC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CONCATENATE(data!$B$2, " Distribution and User Trends ", Summary_data!W1)</f>
        <v>ASDC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Summary_data!C4</f>
        <v>ASDC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Summary_data!D4</f>
        <v>871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4" customHeight="1" thickBot="1" x14ac:dyDescent="0.2">
      <c r="B5" s="295" t="s">
        <v>184</v>
      </c>
      <c r="C5" s="64">
        <f>Summary_data!AA16</f>
        <v>3524431</v>
      </c>
      <c r="D5" s="67">
        <f>Summary_data!H4</f>
        <v>54768</v>
      </c>
      <c r="F5" s="319" t="s">
        <v>70</v>
      </c>
      <c r="G5" s="320">
        <f>data!$B$15</f>
        <v>36.577518999999995</v>
      </c>
      <c r="H5" s="305"/>
      <c r="I5" s="300">
        <f>(data!$B$15-data!$B17)/data!$B17</f>
        <v>0.37637094697018858</v>
      </c>
      <c r="J5" s="307">
        <f>data!$B$16</f>
        <v>3.0481265833333331</v>
      </c>
      <c r="K5" s="333"/>
    </row>
    <row r="6" spans="1:11" ht="18" customHeight="1" thickBot="1" x14ac:dyDescent="0.2">
      <c r="B6" s="295" t="s">
        <v>186</v>
      </c>
      <c r="C6" s="64">
        <f>Summary_data!AA18</f>
        <v>2715910</v>
      </c>
      <c r="D6" s="67">
        <f>Summary_data!I4</f>
        <v>48894</v>
      </c>
      <c r="F6" s="318"/>
      <c r="G6" s="321"/>
      <c r="H6" s="306"/>
      <c r="I6" s="301"/>
      <c r="J6" s="308"/>
      <c r="K6" s="323"/>
    </row>
    <row r="7" spans="1:11" ht="18" customHeight="1" thickBot="1" x14ac:dyDescent="0.2">
      <c r="B7" s="295" t="s">
        <v>180</v>
      </c>
      <c r="C7" s="64">
        <f>Summary_data!AA17</f>
        <v>3392960</v>
      </c>
      <c r="D7" s="67">
        <f>Summary_data!J4</f>
        <v>65954</v>
      </c>
      <c r="F7" s="317" t="s">
        <v>64</v>
      </c>
      <c r="G7" s="315">
        <f>data!$B$67</f>
        <v>3142.6228653905268</v>
      </c>
      <c r="H7" s="306"/>
      <c r="I7" s="300">
        <f>(data!$B$67-data!$B$69)/data!$B$69</f>
        <v>0.35864374823550377</v>
      </c>
      <c r="J7" s="308">
        <f>data!$B$68</f>
        <v>261.88523878254392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Summary_data!K$4</f>
        <v>47666</v>
      </c>
      <c r="F8" s="318"/>
      <c r="G8" s="316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9" t="str">
        <f>CONCATENATE(FIXED(1024*Summary_data!$N$4,1), " GB/day")</f>
        <v>1,480.7 GB/day</v>
      </c>
      <c r="F9" s="317" t="s">
        <v>60</v>
      </c>
      <c r="G9" s="326">
        <f>data!$B$120</f>
        <v>3793</v>
      </c>
      <c r="H9" s="306"/>
      <c r="I9" s="300">
        <f>(data!$B$120-data!$B$121)/data!$B$121</f>
        <v>-9.9049881235154388E-2</v>
      </c>
      <c r="J9" s="330">
        <f>data!$B$119</f>
        <v>524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CONCATENATE(FIXED(Summary_data!$O$4,1), " TB")</f>
        <v>5,554.9 TB</v>
      </c>
      <c r="F10" s="318"/>
      <c r="G10" s="332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CONCATENATE(FIXED(Summary_data!$R$4,1), " M")</f>
        <v>36.6 M</v>
      </c>
      <c r="E11" s="5"/>
      <c r="F11" s="317" t="s">
        <v>176</v>
      </c>
      <c r="G11" s="326">
        <f>data!$B$201</f>
        <v>51239</v>
      </c>
      <c r="H11" s="306"/>
      <c r="I11" s="301">
        <f>(data!$B$201-data!$B$202)/data!$B$202</f>
        <v>4.2757132972444954E-2</v>
      </c>
      <c r="J11" s="330">
        <f>data!$B$200</f>
        <v>5496.166666666667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8" t="str">
        <f>CONCATENATE(FIXED(1024*Summary_data!$T$4,1), " GB/day")</f>
        <v>8,816.6 GB/day</v>
      </c>
      <c r="F12" s="325"/>
      <c r="G12" s="327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data!$B$220</f>
        <v>45365</v>
      </c>
      <c r="H13" s="306"/>
      <c r="I13" s="301">
        <f>(data!$B$220-data!$B$221)/data!$B$221</f>
        <v>-7.6783751882453496E-2</v>
      </c>
      <c r="J13" s="330">
        <f>data!$B$219</f>
        <v>4181.666666666667</v>
      </c>
      <c r="K13" s="323"/>
    </row>
    <row r="14" spans="1:11" ht="25" customHeight="1" thickBot="1" x14ac:dyDescent="0.2">
      <c r="F14" s="325"/>
      <c r="G14" s="327"/>
      <c r="H14" s="328"/>
      <c r="I14" s="329"/>
      <c r="J14" s="331"/>
      <c r="K14" s="324"/>
    </row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52" ht="62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9:K10"/>
    <mergeCell ref="K11:K12"/>
    <mergeCell ref="F11:F12"/>
    <mergeCell ref="G11:G12"/>
    <mergeCell ref="H11:H12"/>
    <mergeCell ref="I11:I12"/>
    <mergeCell ref="J11:J12"/>
    <mergeCell ref="F9:F10"/>
    <mergeCell ref="G9:G10"/>
    <mergeCell ref="H9:H10"/>
    <mergeCell ref="I9:I10"/>
    <mergeCell ref="J9:J10"/>
    <mergeCell ref="K5:K6"/>
    <mergeCell ref="K7:K8"/>
    <mergeCell ref="J7:J8"/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</mergeCells>
  <conditionalFormatting sqref="K5 K7">
    <cfRule type="dataBar" priority="1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{8D88A1E3-C260-4787-A30A-589904A5DA5D}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{D510F157-9A0C-C24A-88DB-6F63328216D5}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D88A1E3-C260-4787-A30A-589904A5DA5D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D510F157-9A0C-C24A-88DB-6F63328216D5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2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data!B206:B217</xm:f>
              <xm:sqref>K13</xm:sqref>
            </x14:sparkline>
          </x14:sparklines>
        </x14:sparklineGroup>
        <x14:sparklineGroup manualMax="0" manualMin="0" displayEmptyCellsAs="gap" high="1" xr2:uid="{00000000-0003-0000-02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  <x14:sparklineGroup manualMax="0" manualMin="0" displayEmptyCellsAs="gap" high="1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manualMax="0" manualMin="0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  <x14:sparklineGroup manualMax="0" manualMin="0" displayEmptyCellsAs="gap" high="1" xr2:uid="{00000000-0003-0000-02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data!B187:B198</xm:f>
              <xm:sqref>K11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52"/>
  <sheetViews>
    <sheetView topLeftCell="A7" zoomScale="90" zoomScaleNormal="90" zoomScalePageLayoutView="90" workbookViewId="0">
      <selection activeCell="G40" sqref="G40"/>
    </sheetView>
  </sheetViews>
  <sheetFormatPr baseColWidth="10" defaultColWidth="11.5" defaultRowHeight="13" x14ac:dyDescent="0.15"/>
  <cols>
    <col min="1" max="1" width="7.1640625" customWidth="1"/>
    <col min="2" max="2" width="55.33203125" customWidth="1"/>
    <col min="3" max="3" width="20.832031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CONCATENATE("ASF Summary for ", Summary_data!X1)</f>
        <v>ASF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9" t="str">
        <f>Summary_data!Z2</f>
        <v>FY2019 Metrics (Oct 2018 to Sep 2019)</v>
      </c>
      <c r="C2" s="310"/>
      <c r="D2" s="336"/>
      <c r="F2" s="309" t="str">
        <f>CONCATENATE(data!$C$2, " Distribution and User Trends ", Summary_data!W1)</f>
        <v>ASF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Summary_data!C5</f>
        <v>ASF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Summary_data!D5</f>
        <v>91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3" customHeight="1" thickBot="1" x14ac:dyDescent="0.2">
      <c r="B5" s="295" t="s">
        <v>184</v>
      </c>
      <c r="C5" s="64">
        <f>Summary_data!AA16</f>
        <v>3524431</v>
      </c>
      <c r="D5" s="67">
        <f>Summary_data!H5</f>
        <v>185632</v>
      </c>
      <c r="F5" s="319" t="s">
        <v>70</v>
      </c>
      <c r="G5" s="320">
        <f>data!$C$15</f>
        <v>31.991156</v>
      </c>
      <c r="H5" s="305"/>
      <c r="I5" s="300">
        <f>(data!$C$15-data!$C$17)/data!$C$17</f>
        <v>1.8472260751984062</v>
      </c>
      <c r="J5" s="337">
        <f>data!$C$16</f>
        <v>2.6659296666666665</v>
      </c>
      <c r="K5" s="333"/>
    </row>
    <row r="6" spans="1:11" ht="18" customHeight="1" thickBot="1" x14ac:dyDescent="0.2">
      <c r="B6" s="295" t="s">
        <v>186</v>
      </c>
      <c r="C6" s="64">
        <f>Summary_data!AA18</f>
        <v>2715910</v>
      </c>
      <c r="D6" s="67">
        <f>Summary_data!I5</f>
        <v>189385</v>
      </c>
      <c r="F6" s="318"/>
      <c r="G6" s="321"/>
      <c r="H6" s="306"/>
      <c r="I6" s="301"/>
      <c r="J6" s="338"/>
      <c r="K6" s="323"/>
    </row>
    <row r="7" spans="1:11" ht="18" customHeight="1" thickBot="1" x14ac:dyDescent="0.2">
      <c r="B7" s="295" t="s">
        <v>180</v>
      </c>
      <c r="C7" s="64">
        <f>Summary_data!AA17</f>
        <v>3392960</v>
      </c>
      <c r="D7" s="67">
        <f>Summary_data!J5</f>
        <v>197225</v>
      </c>
      <c r="F7" s="317" t="s">
        <v>64</v>
      </c>
      <c r="G7" s="315">
        <f>data!$C$67</f>
        <v>7046.9466499104692</v>
      </c>
      <c r="H7" s="306"/>
      <c r="I7" s="300">
        <f>(data!$C$67-data!$C$69)/data!$C$69</f>
        <v>0.47884751312884616</v>
      </c>
      <c r="J7" s="338">
        <f>data!$C$68</f>
        <v>587.24555415920577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Summary_data!K$5</f>
        <v>227634</v>
      </c>
      <c r="F8" s="318"/>
      <c r="G8" s="316"/>
      <c r="H8" s="306"/>
      <c r="I8" s="301"/>
      <c r="J8" s="33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7" t="str">
        <f>CONCATENATE(FIXED(1024*Summary_data!$N$5,1), " GB/day")</f>
        <v>6,379.5 GB/day</v>
      </c>
      <c r="F9" s="317" t="s">
        <v>60</v>
      </c>
      <c r="G9" s="326">
        <f>data!$C$120</f>
        <v>109730</v>
      </c>
      <c r="H9" s="306"/>
      <c r="I9" s="300">
        <f>(data!$C$120-data!$C$121)/data!$C$121</f>
        <v>0.2186399831191764</v>
      </c>
      <c r="J9" s="334">
        <f>data!$C$119</f>
        <v>12828.166666666666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7" t="str">
        <f>CONCATENATE(FIXED(Summary_data!$O$5,1), " TB")</f>
        <v>9,657.3 TB</v>
      </c>
      <c r="F10" s="318"/>
      <c r="G10" s="332"/>
      <c r="H10" s="306"/>
      <c r="I10" s="301"/>
      <c r="J10" s="334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8" t="str">
        <f>CONCATENATE(FIXED(Summary_data!$R$5,1), " M")</f>
        <v>32.0 M</v>
      </c>
      <c r="E11" s="5"/>
      <c r="F11" s="317" t="s">
        <v>176</v>
      </c>
      <c r="G11" s="326">
        <f>data!$C$201</f>
        <v>130464</v>
      </c>
      <c r="H11" s="306"/>
      <c r="I11" s="301">
        <f>(data!$C$201-data!$C$202)/data!$C$202</f>
        <v>0.21987115354047257</v>
      </c>
      <c r="J11" s="334">
        <f>data!$C$200</f>
        <v>16435.416666666668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CONCATENATE(FIXED(1024*Summary_data!$T$5,1), " GB/day")</f>
        <v>19,770.1 GB/day</v>
      </c>
      <c r="F12" s="325"/>
      <c r="G12" s="327"/>
      <c r="H12" s="328"/>
      <c r="I12" s="329"/>
      <c r="J12" s="335"/>
      <c r="K12" s="324"/>
    </row>
    <row r="13" spans="1:11" ht="18" customHeight="1" x14ac:dyDescent="0.15">
      <c r="F13" s="317" t="s">
        <v>177</v>
      </c>
      <c r="G13" s="326">
        <f>data!$C$220</f>
        <v>134217</v>
      </c>
      <c r="H13" s="306"/>
      <c r="I13" s="301">
        <f>(data!$C$220-data!$C$221)/data!$C$221</f>
        <v>0.25496264574703831</v>
      </c>
      <c r="J13" s="334">
        <f>data!$C$219</f>
        <v>13448.416666666666</v>
      </c>
      <c r="K13" s="323"/>
    </row>
    <row r="14" spans="1:11" ht="18" customHeight="1" thickBot="1" x14ac:dyDescent="0.2">
      <c r="F14" s="325"/>
      <c r="G14" s="327"/>
      <c r="H14" s="328"/>
      <c r="I14" s="329"/>
      <c r="J14" s="335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52" ht="47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{B90F4E67-C5C0-44A2-8EC2-F8E65B1465CB}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{7140583E-CE41-8D4D-AAA6-C9566B8F3727}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90F4E67-C5C0-44A2-8EC2-F8E65B1465C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7140583E-CE41-8D4D-AAA6-C9566B8F3727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3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data!C206:C217</xm:f>
              <xm:sqref>K13</xm:sqref>
            </x14:sparkline>
          </x14:sparklines>
        </x14:sparklineGroup>
        <x14:sparklineGroup manualMax="0" manualMin="0" displayEmptyCellsAs="gap" high="1" xr2:uid="{00000000-0003-0000-03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data!C187:C198</xm:f>
              <xm:sqref>K11</xm:sqref>
            </x14:sparkline>
          </x14:sparklines>
        </x14:sparklineGroup>
        <x14:sparklineGroup manualMax="0" manualMin="0" displayEmptyCellsAs="gap" high="1" xr2:uid="{00000000-0003-0000-03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manualMax="0" manualMin="0" displayEmptyCellsAs="gap" high="1" xr2:uid="{00000000-0003-0000-03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manualMax="0" manualMin="0" displayEmptyCellsAs="gap" high="1" xr2:uid="{00000000-0003-0000-03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37"/>
  <sheetViews>
    <sheetView topLeftCell="A13" zoomScale="90" zoomScaleNormal="90" zoomScalePageLayoutView="90" workbookViewId="0">
      <selection activeCell="L23" sqref="L23"/>
    </sheetView>
  </sheetViews>
  <sheetFormatPr baseColWidth="10" defaultColWidth="11.5" defaultRowHeight="13" x14ac:dyDescent="0.15"/>
  <cols>
    <col min="1" max="1" width="7.1640625" customWidth="1"/>
    <col min="2" max="2" width="54.6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CONCATENATE("CDDIS Summary for ", Summary_data!X1)</f>
        <v>CDDIS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CONCATENATE(data!$D$2, " Distribution and User Trends ", Summary_data!W1)</f>
        <v>CDDIS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Summary_data!C6</f>
        <v>CDDIS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6" customHeight="1" thickBot="1" x14ac:dyDescent="0.2">
      <c r="B4" s="294" t="s">
        <v>0</v>
      </c>
      <c r="C4" s="64">
        <f>Summary_data!AA15</f>
        <v>11929</v>
      </c>
      <c r="D4" s="66">
        <f>Summary_data!D$6</f>
        <v>248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1" customHeight="1" thickBot="1" x14ac:dyDescent="0.2">
      <c r="B5" s="295" t="s">
        <v>184</v>
      </c>
      <c r="C5" s="64">
        <f>Summary_data!AA16</f>
        <v>3524431</v>
      </c>
      <c r="D5" s="67">
        <f>Summary_data!H$6</f>
        <v>308509</v>
      </c>
      <c r="F5" s="319" t="s">
        <v>70</v>
      </c>
      <c r="G5" s="341">
        <f>data!$D$15</f>
        <v>390.72035200000005</v>
      </c>
      <c r="H5" s="305"/>
      <c r="I5" s="300">
        <f>(data!$D$15-data!$D$17)/data!$D$17</f>
        <v>0.12174451142233872</v>
      </c>
      <c r="J5" s="307">
        <f>data!$D$16</f>
        <v>32.56002933333334</v>
      </c>
      <c r="K5" s="333"/>
    </row>
    <row r="6" spans="1:11" ht="18" customHeight="1" thickBot="1" x14ac:dyDescent="0.2">
      <c r="B6" s="295" t="s">
        <v>186</v>
      </c>
      <c r="C6" s="64">
        <f>Summary_data!AA18</f>
        <v>2715910</v>
      </c>
      <c r="D6" s="67">
        <f>Summary_data!I$6</f>
        <v>307709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180</v>
      </c>
      <c r="C7" s="64">
        <f>Summary_data!AA17</f>
        <v>3392960</v>
      </c>
      <c r="D7" s="67">
        <f>Summary_data!J$6</f>
        <v>26813</v>
      </c>
      <c r="F7" s="317" t="s">
        <v>64</v>
      </c>
      <c r="G7" s="339">
        <f>data!$D$67</f>
        <v>247.40886884517704</v>
      </c>
      <c r="H7" s="306"/>
      <c r="I7" s="300">
        <f>(data!$D$67-data!$D$69)/data!$D$69</f>
        <v>0.21186483918478485</v>
      </c>
      <c r="J7" s="308">
        <f>data!$D$68</f>
        <v>20.617405737098085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Summary_data!K$6</f>
        <v>27289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CONCATENATE(FIXED(1024*Summary_data!$N$6,2), " GB/day")</f>
        <v>16.80 GB/day</v>
      </c>
      <c r="F9" s="317" t="s">
        <v>60</v>
      </c>
      <c r="G9" s="326">
        <f>data!$D$120</f>
        <v>295901</v>
      </c>
      <c r="H9" s="306"/>
      <c r="I9" s="300">
        <f>(data!$D$120-data!$D$121)/data!$D$121</f>
        <v>-0.26912579441237566</v>
      </c>
      <c r="J9" s="330">
        <f>data!$D$119</f>
        <v>34170.416666666664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CONCATENATE(FIXED(Summary_data!$O$6,1), " TB")</f>
        <v>30.9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CONCATENATE(FIXED(Summary_data!$R$6,1)," M")</f>
        <v>390.7 M</v>
      </c>
      <c r="E11" s="5"/>
      <c r="F11" s="317" t="s">
        <v>176</v>
      </c>
      <c r="G11" s="326">
        <f>data!$D$201</f>
        <v>21205</v>
      </c>
      <c r="H11" s="306"/>
      <c r="I11" s="301">
        <f>(data!$D$201-data!$D$202)/data!$D$202</f>
        <v>7.7052011377488822E-2</v>
      </c>
      <c r="J11" s="330">
        <f>data!$D$200</f>
        <v>2234.4166666666665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CONCATENATE(FIXED(1024*Summary_data!$T$6,1), " GB/day")</f>
        <v>694.1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data!$D$220</f>
        <v>20405</v>
      </c>
      <c r="H13" s="306"/>
      <c r="I13" s="301">
        <f>(data!$D$220-data!$D$221)/data!$D$221</f>
        <v>3.6418122714343762E-2</v>
      </c>
      <c r="J13" s="330">
        <f>data!$D$219</f>
        <v>1947.5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{F5364324-3E38-C342-9AC5-88A4FF93E5F3}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{CCE96D12-D5B7-2149-9FAA-578B2CBB4708}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5364324-3E38-C342-9AC5-88A4FF93E5F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CCE96D12-D5B7-2149-9FAA-578B2CBB4708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400-00000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data!D206:D217</xm:f>
              <xm:sqref>K13</xm:sqref>
            </x14:sparkline>
          </x14:sparklines>
        </x14:sparklineGroup>
        <x14:sparklineGroup manualMax="0" manualMin="0" displayEmptyCellsAs="gap" high="1" xr2:uid="{00000000-0003-0000-0400-00000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  <x14:sparklineGroup manualMax="0" manualMin="0" displayEmptyCellsAs="gap" high="1" xr2:uid="{00000000-0003-0000-04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manualMax="0" manualMin="0" displayEmptyCellsAs="gap" high="1" xr2:uid="{00000000-0003-0000-04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  <x14:sparklineGroup manualMax="0" manualMin="0" displayEmptyCellsAs="gap" high="1" xr2:uid="{00000000-0003-0000-04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data!D187:D198</xm:f>
              <xm:sqref>K11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7"/>
  <sheetViews>
    <sheetView topLeftCell="A16" zoomScale="90" zoomScaleNormal="90" zoomScalePageLayoutView="90" workbookViewId="0">
      <selection activeCell="J48" sqref="J48"/>
    </sheetView>
  </sheetViews>
  <sheetFormatPr baseColWidth="10" defaultColWidth="11.5" defaultRowHeight="13" x14ac:dyDescent="0.15"/>
  <cols>
    <col min="1" max="1" width="7.1640625" customWidth="1"/>
    <col min="2" max="2" width="56.1640625" customWidth="1"/>
    <col min="3" max="3" width="20.6640625" customWidth="1"/>
    <col min="4" max="4" width="20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CONCATENATE("LAADS DAAC Summary for ", Summary_data!X1)</f>
        <v>LAADS DAAC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CONCATENATE(data!$H$2, " Distribution and User Trends ", Summary_data!W1)</f>
        <v>LAADS DAAC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Summary_data!$C$10</f>
        <v>LAADS DAAC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Summary_data!$D$10</f>
        <v>1781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18" customHeight="1" thickBot="1" x14ac:dyDescent="0.2">
      <c r="B5" s="295" t="s">
        <v>184</v>
      </c>
      <c r="C5" s="64">
        <f>Summary_data!AA16</f>
        <v>3524431</v>
      </c>
      <c r="D5" s="67">
        <f>Summary_data!H$10</f>
        <v>393951</v>
      </c>
      <c r="F5" s="319" t="s">
        <v>70</v>
      </c>
      <c r="G5" s="341">
        <f>data!$H$15</f>
        <v>371.42471999999998</v>
      </c>
      <c r="H5" s="305"/>
      <c r="I5" s="300">
        <f>(data!$H$15-data!$H$17)/data!$H$17</f>
        <v>0.54791078271025706</v>
      </c>
      <c r="J5" s="307">
        <f>data!$H$16</f>
        <v>30.952059999999999</v>
      </c>
      <c r="K5" s="333"/>
    </row>
    <row r="6" spans="1:11" ht="18" customHeight="1" thickBot="1" x14ac:dyDescent="0.2">
      <c r="B6" s="295" t="s">
        <v>186</v>
      </c>
      <c r="C6" s="64">
        <f>Summary_data!AA18</f>
        <v>2715910</v>
      </c>
      <c r="D6" s="67">
        <f>Summary_data!I$10</f>
        <v>348645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Summary_data!J$10</f>
        <v>145511</v>
      </c>
      <c r="F7" s="317" t="s">
        <v>64</v>
      </c>
      <c r="G7" s="339">
        <f>data!$H$67</f>
        <v>9631.8542780975458</v>
      </c>
      <c r="H7" s="306"/>
      <c r="I7" s="300">
        <f>(data!$H$67-data!$H$69)/data!$H$69</f>
        <v>1.529724606710009</v>
      </c>
      <c r="J7" s="308">
        <f>data!$H$68</f>
        <v>802.65452317479549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Summary_data!K$10</f>
        <v>122447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CONCATENATE(FIXED(1024*Summary_data!$N$10,1), " GB/day")</f>
        <v>5,350.4 GB/day</v>
      </c>
      <c r="F9" s="317" t="s">
        <v>60</v>
      </c>
      <c r="G9" s="326">
        <f>data!$H$120</f>
        <v>289090</v>
      </c>
      <c r="H9" s="306"/>
      <c r="I9" s="300">
        <f>(data!$H$120-data!$H$121)/data!$H$121</f>
        <v>-0.72353901428829637</v>
      </c>
      <c r="J9" s="330">
        <f>data!$H$119</f>
        <v>27423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CONCATENATE(FIXED(Summary_data!$O$10,1), " TB")</f>
        <v>6,965.9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CONCATENATE(FIXED(Summary_data!$R$10,1), " M")</f>
        <v>371.4 M</v>
      </c>
      <c r="E11" s="5"/>
      <c r="F11" s="317" t="s">
        <v>176</v>
      </c>
      <c r="G11" s="326">
        <f>data!$H$201</f>
        <v>107736</v>
      </c>
      <c r="H11" s="306"/>
      <c r="I11" s="301">
        <f>(data!$H$201-data!$H$202)/data!$H$202</f>
        <v>-0.20989754834735291</v>
      </c>
      <c r="J11" s="330">
        <f>data!$H$200</f>
        <v>12125.916666666666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9" t="str">
        <f>CONCATENATE(FIXED(1024*Summary_data!$T$10,1), " GB/day")</f>
        <v>27,022.0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data!$H$220</f>
        <v>62430</v>
      </c>
      <c r="H13" s="306"/>
      <c r="I13" s="301">
        <f>(data!$H$220-data!$H$221)/data!$H$221</f>
        <v>-0.54215771834229265</v>
      </c>
      <c r="J13" s="330">
        <f>data!$H$219</f>
        <v>6790.666666666667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{F401D733-4847-6646-8E37-79B4960E7FBB}</x14:id>
        </ext>
      </extLst>
    </cfRule>
  </conditionalFormatting>
  <conditionalFormatting sqref="I5 I7 I9 I11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{00873C36-B65A-7149-AB00-93293EAD496B}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01D733-4847-6646-8E37-79B4960E7FB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00873C36-B65A-7149-AB00-93293EAD496B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500-00001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data!H206:H217</xm:f>
              <xm:sqref>K13</xm:sqref>
            </x14:sparkline>
          </x14:sparklines>
        </x14:sparklineGroup>
        <x14:sparklineGroup manualMax="0" manualMin="0" displayEmptyCellsAs="gap" high="1" xr2:uid="{00000000-0003-0000-0500-00001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  <x14:sparklineGroup manualMax="0" manualMin="0" displayEmptyCellsAs="gap" high="1" xr2:uid="{00000000-0003-0000-0500-00001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manualMax="0" manualMin="0" displayEmptyCellsAs="gap" high="1" xr2:uid="{00000000-0003-0000-0500-00001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  <x14:sparklineGroup manualMax="0" manualMin="0" displayEmptyCellsAs="gap" high="1" xr2:uid="{00000000-0003-0000-0500-00000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data!H187:H198</xm:f>
              <xm:sqref>K11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37"/>
  <sheetViews>
    <sheetView topLeftCell="A22" zoomScale="90" zoomScaleNormal="90" zoomScalePageLayoutView="90" workbookViewId="0">
      <selection activeCell="I13" sqref="I13:I14"/>
    </sheetView>
  </sheetViews>
  <sheetFormatPr baseColWidth="10" defaultColWidth="11.5" defaultRowHeight="13" x14ac:dyDescent="0.15"/>
  <cols>
    <col min="1" max="1" width="7.1640625" customWidth="1"/>
    <col min="2" max="2" width="54.83203125" customWidth="1"/>
    <col min="3" max="3" width="20.6640625" customWidth="1"/>
    <col min="4" max="4" width="20.332031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CONCATENATE("GESDISC Summary for ", Summary_data!X1)</f>
        <v>GESDISC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CONCATENATE(data!$E$2, " Distribution and User Trends ", Summary_data!W1)</f>
        <v>GESDISC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Summary_data!$C$7</f>
        <v>GESDISC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20" customHeight="1" thickBot="1" x14ac:dyDescent="0.2">
      <c r="B4" s="294" t="s">
        <v>0</v>
      </c>
      <c r="C4" s="64">
        <f>Summary_data!AA15</f>
        <v>11929</v>
      </c>
      <c r="D4" s="66">
        <f>Summary_data!$D$7</f>
        <v>2054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2" customHeight="1" thickBot="1" x14ac:dyDescent="0.2">
      <c r="B5" s="295" t="s">
        <v>184</v>
      </c>
      <c r="C5" s="64">
        <f>Summary_data!AA$16</f>
        <v>3524431</v>
      </c>
      <c r="D5" s="67">
        <f>Summary_data!H$7</f>
        <v>147822</v>
      </c>
      <c r="F5" s="319" t="s">
        <v>70</v>
      </c>
      <c r="G5" s="341">
        <f>data!$E$15</f>
        <v>408.14651100000003</v>
      </c>
      <c r="H5" s="305"/>
      <c r="I5" s="300">
        <f>(data!$E$15-data!$E$17)/data!$E$17</f>
        <v>0.37085622877052371</v>
      </c>
      <c r="J5" s="307">
        <f>data!$E$16</f>
        <v>34.012209250000005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Summary_data!I$7</f>
        <v>128596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Summary_data!J$7</f>
        <v>160944</v>
      </c>
      <c r="F7" s="317" t="s">
        <v>64</v>
      </c>
      <c r="G7" s="339">
        <f>data!$E$67</f>
        <v>5609.586306892762</v>
      </c>
      <c r="H7" s="306"/>
      <c r="I7" s="300">
        <f>(data!$E$67-data!$E$69)/data!$E$69</f>
        <v>0.11432672130131863</v>
      </c>
      <c r="J7" s="308">
        <f>data!$E$68</f>
        <v>467.46552557439685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Summary_data!K$7</f>
        <v>135008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CONCATENATE(FIXED(1024*Summary_data!$N$7,1), " GB/day")</f>
        <v>1,943.3 GB/day</v>
      </c>
      <c r="F9" s="317" t="s">
        <v>60</v>
      </c>
      <c r="G9" s="326">
        <f>data!$E$120</f>
        <v>84258</v>
      </c>
      <c r="H9" s="306"/>
      <c r="I9" s="300">
        <f>(data!$E$120-data!$E$121)/data!$E$121</f>
        <v>8.7228057498258016E-2</v>
      </c>
      <c r="J9" s="330">
        <f>data!$E$119</f>
        <v>11379.75</v>
      </c>
      <c r="K9" s="323"/>
    </row>
    <row r="10" spans="1:11" ht="21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CONCATENATE(FIXED(Summary_data!$O$7,1), " TB")</f>
        <v>2,478.9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CONCATENATE(FIXED(Summary_data!$R$7,1), " M")</f>
        <v>408.1 M</v>
      </c>
      <c r="E11" s="5"/>
      <c r="F11" s="317" t="s">
        <v>176</v>
      </c>
      <c r="G11" s="326">
        <f>data!$E$201</f>
        <v>104518</v>
      </c>
      <c r="H11" s="306"/>
      <c r="I11" s="301">
        <f>(data!$E$201-data!$E$202)/data!$E$202</f>
        <v>0.12024780544271643</v>
      </c>
      <c r="J11" s="330">
        <f>data!$E$200</f>
        <v>13412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CONCATENATE(FIXED(1024*Summary_data!$T$7,1), " GB/day")</f>
        <v>15,737.6 GB/day</v>
      </c>
      <c r="F12" s="325"/>
      <c r="G12" s="344"/>
      <c r="H12" s="328"/>
      <c r="I12" s="345"/>
      <c r="J12" s="331"/>
      <c r="K12" s="324"/>
    </row>
    <row r="13" spans="1:11" ht="18" customHeight="1" x14ac:dyDescent="0.15">
      <c r="F13" s="317" t="s">
        <v>177</v>
      </c>
      <c r="G13" s="326">
        <f>data!$E$220</f>
        <v>85292</v>
      </c>
      <c r="H13" s="306"/>
      <c r="I13" s="301">
        <f>(data!$E$220-data!$E$221)/data!$E$221</f>
        <v>-8.5820855528998166E-2</v>
      </c>
      <c r="J13" s="330">
        <f>data!$E$219</f>
        <v>8602.1666666666661</v>
      </c>
      <c r="K13" s="323"/>
    </row>
    <row r="14" spans="1:11" ht="18" customHeight="1" thickBot="1" x14ac:dyDescent="0.2">
      <c r="F14" s="325"/>
      <c r="G14" s="344"/>
      <c r="H14" s="328"/>
      <c r="I14" s="345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53">
      <iconSet iconSet="3Arrows">
        <cfvo type="percent" val="0"/>
        <cfvo type="num" val="0"/>
        <cfvo type="num" val="0.01"/>
      </iconSet>
    </cfRule>
    <cfRule type="iconSet" priority="56">
      <iconSet showValue="0">
        <cfvo type="percent" val="0"/>
        <cfvo type="num" val="0.9"/>
        <cfvo type="num" val="0.95"/>
      </iconSet>
    </cfRule>
  </conditionalFormatting>
  <conditionalFormatting sqref="I5">
    <cfRule type="iconSet" priority="5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7">
      <iconSet>
        <cfvo type="percent" val="0"/>
        <cfvo type="percent" val="33"/>
        <cfvo type="percent" val="67"/>
      </iconSet>
    </cfRule>
    <cfRule type="iconSet" priority="58">
      <iconSet iconSet="4Arrows">
        <cfvo type="percent" val="0"/>
        <cfvo type="percent" val="25"/>
        <cfvo type="percent" val="50"/>
        <cfvo type="percentile" val="75"/>
      </iconSet>
    </cfRule>
    <cfRule type="iconSet" priority="5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54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K11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{384CEFFD-732E-E44C-8027-7B4E9822E1F6}</x14:id>
        </ext>
      </extLst>
    </cfRule>
  </conditionalFormatting>
  <conditionalFormatting sqref="I11">
    <cfRule type="iconSet" priority="26">
      <iconSet iconSet="3Arrows">
        <cfvo type="percent" val="0"/>
        <cfvo type="num" val="0"/>
        <cfvo type="num" val="0.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18">
      <iconSet iconSet="3Arrows">
        <cfvo type="percent" val="0"/>
        <cfvo type="num" val="0"/>
        <cfvo type="num" val="0.01"/>
      </iconSet>
    </cfRule>
    <cfRule type="iconSet" priority="21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>
        <cfvo type="percent" val="0"/>
        <cfvo type="percent" val="33"/>
        <cfvo type="percent" val="67"/>
      </iconSet>
    </cfRule>
    <cfRule type="iconSet" priority="23">
      <iconSet iconSet="4Arrows">
        <cfvo type="percent" val="0"/>
        <cfvo type="percent" val="25"/>
        <cfvo type="percent" val="50"/>
        <cfvo type="percentile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{CE84720D-1FD8-FE4F-93B9-6299E3E873A3}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84CEFFD-732E-E44C-8027-7B4E9822E1F6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CE84720D-1FD8-FE4F-93B9-6299E3E873A3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600-00001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data!E206:E217</xm:f>
              <xm:sqref>K13</xm:sqref>
            </x14:sparkline>
          </x14:sparklines>
        </x14:sparklineGroup>
        <x14:sparklineGroup manualMax="0" manualMin="0" displayEmptyCellsAs="gap" high="1" xr2:uid="{00000000-0003-0000-0600-00001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data!E187:E198</xm:f>
              <xm:sqref>K11</xm:sqref>
            </x14:sparkline>
          </x14:sparklines>
        </x14:sparklineGroup>
        <x14:sparklineGroup manualMax="0" manualMin="0" displayEmptyCellsAs="gap" high="1" xr2:uid="{00000000-0003-0000-0600-00001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manualMax="0" manualMin="0" displayEmptyCellsAs="gap" high="1" xr2:uid="{00000000-0003-0000-0600-00001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manualMax="0" manualMin="0" displayEmptyCellsAs="gap" high="1" xr2:uid="{00000000-0003-0000-0600-00001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36"/>
  <sheetViews>
    <sheetView topLeftCell="A22" zoomScale="90" zoomScaleNormal="90" zoomScalePageLayoutView="90" workbookViewId="0">
      <selection activeCell="L26" sqref="L26"/>
    </sheetView>
  </sheetViews>
  <sheetFormatPr baseColWidth="10" defaultColWidth="11.5" defaultRowHeight="13" x14ac:dyDescent="0.15"/>
  <cols>
    <col min="1" max="1" width="7.1640625" customWidth="1"/>
    <col min="2" max="2" width="55.16406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CONCATENATE("GHRC Summary for ", Summary_data!X1)</f>
        <v>GHRC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CONCATENATE(data!$F$2, " Distribution and User Trends ", Summary_data!W1)</f>
        <v>GHRC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Summary_data!$C$8</f>
        <v>GHRC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Summary_data!$D$8</f>
        <v>507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2" customHeight="1" thickBot="1" x14ac:dyDescent="0.2">
      <c r="B5" s="295" t="s">
        <v>184</v>
      </c>
      <c r="C5" s="64">
        <f>Summary_data!AA16</f>
        <v>3524431</v>
      </c>
      <c r="D5" s="67">
        <f>Summary_data!H$8</f>
        <v>26099</v>
      </c>
      <c r="F5" s="319" t="s">
        <v>70</v>
      </c>
      <c r="G5" s="341">
        <f>data!$F$15</f>
        <v>76.927701000000013</v>
      </c>
      <c r="H5" s="305"/>
      <c r="I5" s="300">
        <f>(data!$F$15-data!$F$17)/data!$F$17</f>
        <v>9.8128946462554136</v>
      </c>
      <c r="J5" s="307">
        <f>data!$F$16</f>
        <v>6.4106417500000008</v>
      </c>
      <c r="K5" s="333"/>
    </row>
    <row r="6" spans="1:11" ht="18" customHeight="1" thickBot="1" x14ac:dyDescent="0.2">
      <c r="B6" s="295" t="s">
        <v>186</v>
      </c>
      <c r="C6" s="64">
        <f>Summary_data!AA18</f>
        <v>2715910</v>
      </c>
      <c r="D6" s="67">
        <f>Summary_data!I$8</f>
        <v>20222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Summary_data!J$8</f>
        <v>18921</v>
      </c>
      <c r="F7" s="317" t="s">
        <v>64</v>
      </c>
      <c r="G7" s="339">
        <f>data!$F$67</f>
        <v>26.237466519949471</v>
      </c>
      <c r="H7" s="306"/>
      <c r="I7" s="301">
        <f>(data!$F$67-data!$F$69)/data!$F$69</f>
        <v>1.0836677507542485</v>
      </c>
      <c r="J7" s="308">
        <f>data!$F$68</f>
        <v>2.1864555433291226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Summary_data!K$8</f>
        <v>8500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CONCATENATE(FIXED(1024*Summary_data!$N$8,1), " GB/day")</f>
        <v>13.2 GB/day</v>
      </c>
      <c r="F9" s="317" t="s">
        <v>60</v>
      </c>
      <c r="G9" s="326">
        <f>data!$F$120</f>
        <v>16795</v>
      </c>
      <c r="H9" s="306"/>
      <c r="I9" s="301">
        <f>(data!$F$120-data!$F$121)/data!$F$121</f>
        <v>0.16147994467496543</v>
      </c>
      <c r="J9" s="330">
        <f>data!$F$119</f>
        <v>2068.5833333333335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CONCATENATE(FIXED(Summary_data!$O$8,3), " TB")</f>
        <v>32.300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CONCATENATE(FIXED(Summary_data!$R$8,1), " M")</f>
        <v>76.9 M</v>
      </c>
      <c r="E11" s="5"/>
      <c r="F11" s="317" t="s">
        <v>176</v>
      </c>
      <c r="G11" s="326">
        <f>data!$F$201</f>
        <v>13275</v>
      </c>
      <c r="H11" s="306"/>
      <c r="I11" s="301">
        <f>(data!$F$201-data!$F$202)/data!$F$202</f>
        <v>-0.19875663930468374</v>
      </c>
      <c r="J11" s="330">
        <f>data!$F$200</f>
        <v>1576.75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CONCATENATE(FIXED(1024*Summary_data!$T$8,1), " GB/day")</f>
        <v>73.6 GB/day</v>
      </c>
      <c r="F12" s="325"/>
      <c r="G12" s="344"/>
      <c r="H12" s="328"/>
      <c r="I12" s="345"/>
      <c r="J12" s="331"/>
      <c r="K12" s="324"/>
    </row>
    <row r="13" spans="1:11" ht="18" customHeight="1" x14ac:dyDescent="0.15">
      <c r="F13" s="317" t="s">
        <v>177</v>
      </c>
      <c r="G13" s="326">
        <f>data!$F$220</f>
        <v>7398</v>
      </c>
      <c r="H13" s="306"/>
      <c r="I13" s="301">
        <f>(data!$F$220-data!$F$221)/data!$F$221</f>
        <v>-0.553476581361661</v>
      </c>
      <c r="J13" s="330">
        <f>data!$F$219</f>
        <v>670.25</v>
      </c>
      <c r="K13" s="323"/>
    </row>
    <row r="14" spans="1:11" ht="18" customHeight="1" thickBot="1" x14ac:dyDescent="0.2">
      <c r="F14" s="325"/>
      <c r="G14" s="344"/>
      <c r="H14" s="328"/>
      <c r="I14" s="345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45">
      <iconSet iconSet="3Arrows">
        <cfvo type="percent" val="0"/>
        <cfvo type="num" val="0"/>
        <cfvo type="num" val="1E-3"/>
      </iconSet>
    </cfRule>
    <cfRule type="iconSet" priority="48">
      <iconSet showValue="0">
        <cfvo type="percent" val="0"/>
        <cfvo type="num" val="0.9"/>
        <cfvo type="num" val="0.95"/>
      </iconSet>
    </cfRule>
  </conditionalFormatting>
  <conditionalFormatting sqref="I5">
    <cfRule type="iconSet" priority="4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>
        <cfvo type="percent" val="0"/>
        <cfvo type="percent" val="33"/>
        <cfvo type="percent" val="67"/>
      </iconSet>
    </cfRule>
    <cfRule type="iconSet" priority="50">
      <iconSet iconSet="4Arrows">
        <cfvo type="percent" val="0"/>
        <cfvo type="percent" val="25"/>
        <cfvo type="percent" val="50"/>
        <cfvo type="percentile" val="75"/>
      </iconSet>
    </cfRule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4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5 K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K1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{6818E918-AB31-024A-8E63-3C73C1253B88}</x14:id>
        </ext>
      </extLst>
    </cfRule>
  </conditionalFormatting>
  <conditionalFormatting sqref="I7">
    <cfRule type="iconSet" priority="34">
      <iconSet iconSet="3Arrows">
        <cfvo type="percent" val="0"/>
        <cfvo type="num" val="-0.01"/>
        <cfvo type="num" val="0.01"/>
      </iconSet>
    </cfRule>
    <cfRule type="iconSet" priority="37">
      <iconSet showValue="0">
        <cfvo type="percent" val="0"/>
        <cfvo type="num" val="0.9"/>
        <cfvo type="num" val="0.95"/>
      </iconSet>
    </cfRule>
  </conditionalFormatting>
  <conditionalFormatting sqref="I7">
    <cfRule type="iconSet" priority="3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8">
      <iconSet>
        <cfvo type="percent" val="0"/>
        <cfvo type="percent" val="33"/>
        <cfvo type="percent" val="67"/>
      </iconSet>
    </cfRule>
    <cfRule type="iconSet" priority="39">
      <iconSet iconSet="4Arrows">
        <cfvo type="percent" val="0"/>
        <cfvo type="percent" val="25"/>
        <cfvo type="percent" val="50"/>
        <cfvo type="percentile" val="75"/>
      </iconSet>
    </cfRule>
    <cfRule type="iconSet" priority="4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3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26">
      <iconSet iconSet="3Arrows">
        <cfvo type="percent" val="0"/>
        <cfvo type="num" val="0"/>
        <cfvo type="num" val="0.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8">
      <iconSet iconSet="3Arrows">
        <cfvo type="percent" val="0"/>
        <cfvo type="percent" val="0.1"/>
        <cfvo type="percent" val="1"/>
      </iconSet>
    </cfRule>
    <cfRule type="iconSet" priority="21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>
        <cfvo type="percent" val="0"/>
        <cfvo type="percent" val="33"/>
        <cfvo type="percent" val="67"/>
      </iconSet>
    </cfRule>
    <cfRule type="iconSet" priority="23">
      <iconSet iconSet="4Arrows">
        <cfvo type="percent" val="0"/>
        <cfvo type="percent" val="25"/>
        <cfvo type="percent" val="50"/>
        <cfvo type="percentile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{850F3097-89A4-7747-8638-3E958EB20059}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818E918-AB31-024A-8E63-3C73C1253B8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850F3097-89A4-7747-8638-3E958EB20059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700-00001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data!F206:F217</xm:f>
              <xm:sqref>K13</xm:sqref>
            </x14:sparkline>
          </x14:sparklines>
        </x14:sparklineGroup>
        <x14:sparklineGroup manualMax="0" manualMin="0" displayEmptyCellsAs="gap" high="1" xr2:uid="{00000000-0003-0000-0700-00001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  <x14:sparklineGroup manualMax="0" manualMin="0" displayEmptyCellsAs="gap" high="1" xr2:uid="{00000000-0003-0000-0700-00001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manualMax="0" manualMin="0" displayEmptyCellsAs="gap" high="1" xr2:uid="{00000000-0003-0000-0700-00001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  <x14:sparklineGroup manualMax="0" manualMin="0" displayEmptyCellsAs="gap" high="1" xr2:uid="{00000000-0003-0000-0700-00001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data!F187:F198</xm:f>
              <xm:sqref>K11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K39"/>
  <sheetViews>
    <sheetView topLeftCell="A19" zoomScale="90" zoomScaleNormal="90" zoomScalePageLayoutView="90" workbookViewId="0">
      <selection activeCell="L24" sqref="L24"/>
    </sheetView>
  </sheetViews>
  <sheetFormatPr baseColWidth="10" defaultColWidth="11.5" defaultRowHeight="13" x14ac:dyDescent="0.15"/>
  <cols>
    <col min="1" max="1" width="7.1640625" customWidth="1"/>
    <col min="2" max="2" width="55.5" customWidth="1"/>
    <col min="3" max="3" width="20.6640625" customWidth="1"/>
    <col min="4" max="4" width="20.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7"/>
      <c r="B1" s="322" t="str">
        <f>CONCATENATE("LPDAAC Summary for ", Summary_data!X1)</f>
        <v>LPDAAC Summary for FY 2019</v>
      </c>
      <c r="C1" s="322"/>
      <c r="D1" s="322"/>
      <c r="E1" s="322"/>
      <c r="F1" s="322"/>
      <c r="G1" s="322"/>
      <c r="H1" s="322"/>
      <c r="I1" s="322"/>
      <c r="J1" s="322"/>
      <c r="K1" s="322"/>
    </row>
    <row r="2" spans="1:11" ht="25" customHeight="1" thickBot="1" x14ac:dyDescent="0.2">
      <c r="B2" s="302" t="str">
        <f>Summary_data!Z2</f>
        <v>FY2019 Metrics (Oct 2018 to Sep 2019)</v>
      </c>
      <c r="C2" s="303"/>
      <c r="D2" s="304"/>
      <c r="F2" s="309" t="str">
        <f>CONCATENATE(data!$G$2, " Distribution and User Trends ", Summary_data!W1)</f>
        <v>LP DAAC Distribution and User Trends (Oct 2018 to Sep 2019)</v>
      </c>
      <c r="G2" s="310"/>
      <c r="H2" s="310"/>
      <c r="I2" s="311"/>
      <c r="J2" s="311"/>
      <c r="K2" s="312"/>
    </row>
    <row r="3" spans="1:11" ht="18" customHeight="1" thickBot="1" x14ac:dyDescent="0.2">
      <c r="B3" s="40" t="s">
        <v>66</v>
      </c>
      <c r="C3" s="40" t="s">
        <v>65</v>
      </c>
      <c r="D3" s="40" t="str">
        <f>Summary_data!$C$9</f>
        <v>LP DAAC</v>
      </c>
      <c r="F3" s="313" t="s">
        <v>66</v>
      </c>
      <c r="G3" s="41" t="s">
        <v>13</v>
      </c>
      <c r="H3" s="42"/>
      <c r="I3" s="43" t="s">
        <v>27</v>
      </c>
      <c r="J3" s="43" t="s">
        <v>34</v>
      </c>
      <c r="K3" s="44" t="s">
        <v>28</v>
      </c>
    </row>
    <row r="4" spans="1:11" ht="18" customHeight="1" thickBot="1" x14ac:dyDescent="0.2">
      <c r="B4" s="294" t="s">
        <v>0</v>
      </c>
      <c r="C4" s="64">
        <f>Summary_data!AA15</f>
        <v>11929</v>
      </c>
      <c r="D4" s="66">
        <f>Summary_data!$D$9</f>
        <v>530</v>
      </c>
      <c r="F4" s="314"/>
      <c r="G4" s="45" t="str">
        <f>Summary_data!AE2</f>
        <v>FY2019</v>
      </c>
      <c r="H4" s="46"/>
      <c r="I4" s="47" t="str">
        <f>Summary_data!AF2</f>
        <v>FY2018</v>
      </c>
      <c r="J4" s="46" t="s">
        <v>29</v>
      </c>
      <c r="K4" s="48" t="s">
        <v>30</v>
      </c>
    </row>
    <row r="5" spans="1:11" ht="23" customHeight="1" thickBot="1" x14ac:dyDescent="0.2">
      <c r="B5" s="295" t="s">
        <v>184</v>
      </c>
      <c r="C5" s="64">
        <f>Summary_data!AA16</f>
        <v>3524431</v>
      </c>
      <c r="D5" s="67">
        <f>Summary_data!H$9</f>
        <v>403518</v>
      </c>
      <c r="F5" s="319" t="s">
        <v>70</v>
      </c>
      <c r="G5" s="341">
        <f>data!$G$15</f>
        <v>276.07118399999996</v>
      </c>
      <c r="H5" s="305"/>
      <c r="I5" s="300">
        <f>(data!$G$15-data!$G$17)/data!$G$17</f>
        <v>0.10701335565566095</v>
      </c>
      <c r="J5" s="307">
        <f>data!$G$16</f>
        <v>23.005931999999998</v>
      </c>
      <c r="K5" s="333"/>
    </row>
    <row r="6" spans="1:11" ht="18" customHeight="1" thickBot="1" x14ac:dyDescent="0.2">
      <c r="B6" s="295" t="s">
        <v>186</v>
      </c>
      <c r="C6" s="64">
        <f>Summary_data!AA$18</f>
        <v>2715910</v>
      </c>
      <c r="D6" s="67">
        <f>Summary_data!I$9</f>
        <v>397166</v>
      </c>
      <c r="F6" s="318"/>
      <c r="G6" s="342"/>
      <c r="H6" s="306"/>
      <c r="I6" s="301"/>
      <c r="J6" s="308"/>
      <c r="K6" s="323"/>
    </row>
    <row r="7" spans="1:11" ht="18" customHeight="1" thickBot="1" x14ac:dyDescent="0.2">
      <c r="B7" s="295" t="s">
        <v>192</v>
      </c>
      <c r="C7" s="64">
        <f>Summary_data!AA17</f>
        <v>3392960</v>
      </c>
      <c r="D7" s="67">
        <f>Summary_data!J$9</f>
        <v>213537</v>
      </c>
      <c r="F7" s="317" t="s">
        <v>64</v>
      </c>
      <c r="G7" s="339">
        <f>data!$G$67</f>
        <v>7854.7410374871542</v>
      </c>
      <c r="H7" s="306"/>
      <c r="I7" s="300">
        <f>(data!$G$67-data!$G$69)/data!$G$69</f>
        <v>0.71053529423247863</v>
      </c>
      <c r="J7" s="308">
        <f>data!$G$68</f>
        <v>654.56175312392952</v>
      </c>
      <c r="K7" s="323"/>
    </row>
    <row r="8" spans="1:11" ht="18" customHeight="1" thickBot="1" x14ac:dyDescent="0.2">
      <c r="B8" s="295" t="s">
        <v>187</v>
      </c>
      <c r="C8" s="64">
        <f>Summary_data!AA19</f>
        <v>2330204</v>
      </c>
      <c r="D8" s="67">
        <f>Summary_data!K$9</f>
        <v>217017</v>
      </c>
      <c r="F8" s="318"/>
      <c r="G8" s="340"/>
      <c r="H8" s="306"/>
      <c r="I8" s="301"/>
      <c r="J8" s="308"/>
      <c r="K8" s="323"/>
    </row>
    <row r="9" spans="1:11" ht="18" customHeight="1" thickBot="1" x14ac:dyDescent="0.2">
      <c r="B9" s="295" t="s">
        <v>1</v>
      </c>
      <c r="C9" s="69" t="str">
        <f>Summary_data!AA20</f>
        <v>20,430.2 GB/day</v>
      </c>
      <c r="D9" s="65" t="str">
        <f>CONCATENATE(FIXED(1024*Summary_data!$N$9,1), " GB/day")</f>
        <v>1,727.6 GB/day</v>
      </c>
      <c r="F9" s="317" t="s">
        <v>60</v>
      </c>
      <c r="G9" s="326">
        <f>data!$G$120</f>
        <v>287736</v>
      </c>
      <c r="H9" s="306"/>
      <c r="I9" s="300">
        <f>(data!$G$120-data!$G$121)/data!$G$121</f>
        <v>-0.18504084199077797</v>
      </c>
      <c r="J9" s="330">
        <f>data!$G$119</f>
        <v>45114</v>
      </c>
      <c r="K9" s="323"/>
    </row>
    <row r="10" spans="1:11" ht="18" customHeight="1" thickBot="1" x14ac:dyDescent="0.2">
      <c r="B10" s="295" t="s">
        <v>2</v>
      </c>
      <c r="C10" s="64" t="str">
        <f>Summary_data!AA21</f>
        <v>34,401.9 TB</v>
      </c>
      <c r="D10" s="68" t="str">
        <f>CONCATENATE(FIXED(Summary_data!$O$9,1), " TB")</f>
        <v>3,322.2 TB</v>
      </c>
      <c r="F10" s="318"/>
      <c r="G10" s="343"/>
      <c r="H10" s="306"/>
      <c r="I10" s="301"/>
      <c r="J10" s="330"/>
      <c r="K10" s="323"/>
    </row>
    <row r="11" spans="1:11" ht="18" customHeight="1" thickBot="1" x14ac:dyDescent="0.2">
      <c r="B11" s="295" t="s">
        <v>3</v>
      </c>
      <c r="C11" s="64" t="str">
        <f>Summary_data!AA10</f>
        <v>1,911.7 M</v>
      </c>
      <c r="D11" s="67" t="str">
        <f>CONCATENATE(FIXED(Summary_data!$R$9,1), " M")</f>
        <v>276.1 M</v>
      </c>
      <c r="E11" s="5"/>
      <c r="F11" s="317" t="s">
        <v>176</v>
      </c>
      <c r="G11" s="326">
        <f>data!$G$201</f>
        <v>158733</v>
      </c>
      <c r="H11" s="306"/>
      <c r="I11" s="301">
        <f>(data!$G$201-data!$G$202)/data!$G$202</f>
        <v>3.4960976977394684E-2</v>
      </c>
      <c r="J11" s="330">
        <f>data!$G$200</f>
        <v>17794.75</v>
      </c>
      <c r="K11" s="323"/>
    </row>
    <row r="12" spans="1:11" ht="18" customHeight="1" thickBot="1" x14ac:dyDescent="0.2">
      <c r="B12" s="296" t="s">
        <v>4</v>
      </c>
      <c r="C12" s="68" t="str">
        <f>Summary_data!AA11</f>
        <v>102.8 TB/day</v>
      </c>
      <c r="D12" s="67" t="str">
        <f>CONCATENATE(FIXED(1024*Summary_data!$T$9,1), " GB/day")</f>
        <v>22,036.3 GB/day</v>
      </c>
      <c r="F12" s="325"/>
      <c r="G12" s="344"/>
      <c r="H12" s="328"/>
      <c r="I12" s="329"/>
      <c r="J12" s="331"/>
      <c r="K12" s="324"/>
    </row>
    <row r="13" spans="1:11" ht="18" customHeight="1" x14ac:dyDescent="0.15">
      <c r="F13" s="317" t="s">
        <v>177</v>
      </c>
      <c r="G13" s="326">
        <f>data!$G$220</f>
        <v>152381</v>
      </c>
      <c r="H13" s="306"/>
      <c r="I13" s="301">
        <f>(data!$G$220-data!$G$221)/data!$G$221</f>
        <v>-6.4549360700523568E-3</v>
      </c>
      <c r="J13" s="330">
        <f>data!$G$219</f>
        <v>14899.416666666666</v>
      </c>
      <c r="K13" s="323"/>
    </row>
    <row r="14" spans="1:11" ht="18" customHeight="1" thickBot="1" x14ac:dyDescent="0.2">
      <c r="F14" s="325"/>
      <c r="G14" s="344"/>
      <c r="H14" s="328"/>
      <c r="I14" s="329"/>
      <c r="J14" s="331"/>
      <c r="K14" s="324"/>
    </row>
    <row r="15" spans="1:11" ht="18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</sheetData>
  <dataConsolidate/>
  <mergeCells count="34">
    <mergeCell ref="K13:K14"/>
    <mergeCell ref="F13:F14"/>
    <mergeCell ref="G13:G14"/>
    <mergeCell ref="H13:H14"/>
    <mergeCell ref="I13:I14"/>
    <mergeCell ref="J13:J14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5 K7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K11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{B6491E99-2FBF-0B43-9D09-3914A1453AD9}</x14:id>
        </ext>
      </extLst>
    </cfRule>
  </conditionalFormatting>
  <conditionalFormatting sqref="I9">
    <cfRule type="iconSet" priority="26">
      <iconSet iconSet="3Arrows">
        <cfvo type="percent" val="0"/>
        <cfvo type="num" val="0"/>
        <cfvo type="num" val="0.01"/>
      </iconSet>
    </cfRule>
    <cfRule type="iconSet" priority="29">
      <iconSet showValue="0">
        <cfvo type="percent" val="0"/>
        <cfvo type="num" val="0.9"/>
        <cfvo type="num" val="0.95"/>
      </iconSet>
    </cfRule>
  </conditionalFormatting>
  <conditionalFormatting sqref="I9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0">
      <iconSet>
        <cfvo type="percent" val="0"/>
        <cfvo type="percent" val="33"/>
        <cfvo type="percent" val="67"/>
      </iconSet>
    </cfRule>
    <cfRule type="iconSet" priority="31">
      <iconSet iconSet="4Arrows">
        <cfvo type="percent" val="0"/>
        <cfvo type="percent" val="25"/>
        <cfvo type="percent" val="50"/>
        <cfvo type="percentile" val="75"/>
      </iconSet>
    </cfRule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27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.01"/>
      </iconSet>
    </cfRule>
    <cfRule type="iconSet" priority="21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>
        <cfvo type="percent" val="0"/>
        <cfvo type="percent" val="33"/>
        <cfvo type="percent" val="67"/>
      </iconSet>
    </cfRule>
    <cfRule type="iconSet" priority="23">
      <iconSet iconSet="4Arrows">
        <cfvo type="percent" val="0"/>
        <cfvo type="percent" val="25"/>
        <cfvo type="percent" val="50"/>
        <cfvo type="percentile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">
    <cfRule type="iconSet" priority="10">
      <iconSet iconSet="3Arrows">
        <cfvo type="percent" val="0"/>
        <cfvo type="num" val="0"/>
        <cfvo type="num" val="0.01"/>
      </iconSet>
    </cfRule>
    <cfRule type="iconSet" priority="13">
      <iconSet showValue="0">
        <cfvo type="percent" val="0"/>
        <cfvo type="num" val="0.9"/>
        <cfvo type="num" val="0.95"/>
      </iconSet>
    </cfRule>
  </conditionalFormatting>
  <conditionalFormatting sqref="I5 I7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>
        <cfvo type="percent" val="0"/>
        <cfvo type="percent" val="33"/>
        <cfvo type="percent" val="67"/>
      </iconSet>
    </cfRule>
    <cfRule type="iconSet" priority="15">
      <iconSet iconSet="4Arrows">
        <cfvo type="percent" val="0"/>
        <cfvo type="percent" val="25"/>
        <cfvo type="percent" val="50"/>
        <cfvo type="percentile" val="75"/>
      </iconSet>
    </cfRule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I5 I7">
    <cfRule type="iconSet" priority="11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{1C8E2180-9AF5-CF41-9735-E4DD210F5761}</x14:id>
        </ext>
      </extLst>
    </cfRule>
  </conditionalFormatting>
  <conditionalFormatting sqref="I13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3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K5 K7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6491E99-2FBF-0B43-9D09-3914A1453AD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  <x14:conditionalFormatting xmlns:xm="http://schemas.microsoft.com/office/excel/2006/main">
          <x14:cfRule type="dataBar" id="{1C8E2180-9AF5-CF41-9735-E4DD210F5761}">
            <x14:dataBar minLength="0" maxLength="100" negativeBarColorSameAsPositive="1" axisPosition="none">
              <x14:cfvo type="min"/>
              <x14:cfvo type="max"/>
            </x14:dataBar>
          </x14:cfRule>
          <xm:sqref>K13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xr2:uid="{00000000-0003-0000-0800-00002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data!G206:G217</xm:f>
              <xm:sqref>K13</xm:sqref>
            </x14:sparkline>
          </x14:sparklines>
        </x14:sparklineGroup>
        <x14:sparklineGroup manualMax="0" manualMin="0" displayEmptyCellsAs="gap" high="1" xr2:uid="{00000000-0003-0000-0800-00002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data!G187:G198</xm:f>
              <xm:sqref>K11</xm:sqref>
            </x14:sparkline>
          </x14:sparklines>
        </x14:sparklineGroup>
        <x14:sparklineGroup manualMax="0" manualMin="0" displayEmptyCellsAs="gap" high="1" xr2:uid="{00000000-0003-0000-0800-00002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manualMax="0" manualMin="0" displayEmptyCellsAs="gap" high="1" xr2:uid="{00000000-0003-0000-0800-00001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manualMax="0" manualMin="0" displayEmptyCellsAs="gap" high="1" xr2:uid="{00000000-0003-0000-0800-00001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Cover</vt:lpstr>
      <vt:lpstr>Introduction</vt:lpstr>
      <vt:lpstr>ASDC</vt:lpstr>
      <vt:lpstr>ASF</vt:lpstr>
      <vt:lpstr>CDDIS</vt:lpstr>
      <vt:lpstr>LAADS</vt:lpstr>
      <vt:lpstr>GESDISC</vt:lpstr>
      <vt:lpstr>GHRC</vt:lpstr>
      <vt:lpstr>LPDAAC</vt:lpstr>
      <vt:lpstr>NSIDC</vt:lpstr>
      <vt:lpstr>ORNL</vt:lpstr>
      <vt:lpstr>OBDAAC</vt:lpstr>
      <vt:lpstr>PODAAC</vt:lpstr>
      <vt:lpstr>SEDAC</vt:lpstr>
      <vt:lpstr>LANCE</vt:lpstr>
      <vt:lpstr>data</vt:lpstr>
      <vt:lpstr>L_Summary_data</vt:lpstr>
      <vt:lpstr>L_data</vt:lpstr>
      <vt:lpstr>Summary_data</vt:lpstr>
      <vt:lpstr>ASDC!Print_Area</vt:lpstr>
      <vt:lpstr>ASF!Print_Area</vt:lpstr>
      <vt:lpstr>CDDIS!Print_Area</vt:lpstr>
      <vt:lpstr>GESDISC!Print_Area</vt:lpstr>
      <vt:lpstr>GHRC!Print_Area</vt:lpstr>
      <vt:lpstr>LAADS!Print_Area</vt:lpstr>
      <vt:lpstr>LANCE!Print_Area</vt:lpstr>
      <vt:lpstr>LPDAAC!Print_Area</vt:lpstr>
      <vt:lpstr>NSIDC!Print_Area</vt:lpstr>
      <vt:lpstr>OBDAAC!Print_Area</vt:lpstr>
      <vt:lpstr>ORNL!Print_Area</vt:lpstr>
      <vt:lpstr>PODAAC!Print_Area</vt:lpstr>
      <vt:lpstr>SEDAC!Print_Area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youngin.won@nasa.gov</dc:creator>
  <cp:lastModifiedBy>Lalit Wanchoo</cp:lastModifiedBy>
  <cp:lastPrinted>2015-12-15T15:48:34Z</cp:lastPrinted>
  <dcterms:created xsi:type="dcterms:W3CDTF">2015-11-25T18:34:53Z</dcterms:created>
  <dcterms:modified xsi:type="dcterms:W3CDTF">2020-01-06T16:36:49Z</dcterms:modified>
</cp:coreProperties>
</file>